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CHIVE\Desktop\"/>
    </mc:Choice>
  </mc:AlternateContent>
  <bookViews>
    <workbookView xWindow="120" yWindow="555" windowWidth="9720" windowHeight="6780" firstSheet="1" activeTab="1"/>
  </bookViews>
  <sheets>
    <sheet name="SOO" sheetId="237" r:id="rId1"/>
    <sheet name="SUB-HEADS" sheetId="238" r:id="rId2"/>
    <sheet name="DAKHLIG GOOBAYSAN 2017" sheetId="236" r:id="rId3"/>
    <sheet name="Soo koobida guud" sheetId="214" r:id="rId4"/>
    <sheet name="shaxda Guud" sheetId="197" r:id="rId5"/>
    <sheet name="Sum 1" sheetId="181" r:id="rId6"/>
    <sheet name="011-012" sheetId="1" r:id="rId7"/>
    <sheet name="013" sheetId="91" r:id="rId8"/>
    <sheet name="021" sheetId="83" r:id="rId9"/>
    <sheet name="031" sheetId="17" r:id="rId10"/>
    <sheet name="041" sheetId="16" r:id="rId11"/>
    <sheet name="051" sheetId="18" r:id="rId12"/>
    <sheet name="061" sheetId="19" r:id="rId13"/>
    <sheet name="071" sheetId="21" r:id="rId14"/>
    <sheet name="081" sheetId="59" r:id="rId15"/>
    <sheet name="082" sheetId="100" r:id="rId16"/>
    <sheet name="083" sheetId="185" r:id="rId17"/>
    <sheet name="084" sheetId="212" r:id="rId18"/>
    <sheet name="085" sheetId="213" r:id="rId19"/>
    <sheet name="091" sheetId="24" r:id="rId20"/>
    <sheet name="101" sheetId="25" r:id="rId21"/>
    <sheet name="102" sheetId="28" r:id="rId22"/>
    <sheet name="103" sheetId="175" r:id="rId23"/>
    <sheet name="104" sheetId="116" r:id="rId24"/>
    <sheet name="105" sheetId="114" r:id="rId25"/>
    <sheet name="111" sheetId="183" r:id="rId26"/>
    <sheet name="112" sheetId="31" r:id="rId27"/>
    <sheet name="113" sheetId="92" r:id="rId28"/>
    <sheet name="114" sheetId="51" r:id="rId29"/>
    <sheet name="115" sheetId="163" r:id="rId30"/>
    <sheet name="116" sheetId="233" r:id="rId31"/>
    <sheet name="117" sheetId="232" r:id="rId32"/>
    <sheet name="121" sheetId="162" r:id="rId33"/>
    <sheet name="131" sheetId="165" r:id="rId34"/>
    <sheet name="132" sheetId="168" r:id="rId35"/>
    <sheet name="141" sheetId="35" r:id="rId36"/>
    <sheet name="151" sheetId="176" r:id="rId37"/>
    <sheet name="152" sheetId="210" r:id="rId38"/>
    <sheet name="161" sheetId="37" r:id="rId39"/>
    <sheet name="171" sheetId="38" r:id="rId40"/>
    <sheet name="181" sheetId="169" r:id="rId41"/>
    <sheet name="191" sheetId="40" r:id="rId42"/>
    <sheet name="201" sheetId="41" r:id="rId43"/>
    <sheet name="211" sheetId="170" r:id="rId44"/>
    <sheet name="221" sheetId="178" r:id="rId45"/>
    <sheet name="222" sheetId="200" r:id="rId46"/>
    <sheet name="223" sheetId="189" r:id="rId47"/>
    <sheet name="231" sheetId="44" r:id="rId48"/>
    <sheet name="232" sheetId="221" r:id="rId49"/>
    <sheet name="241" sheetId="46" r:id="rId50"/>
    <sheet name="242" sheetId="230" r:id="rId51"/>
    <sheet name="251" sheetId="180" r:id="rId52"/>
    <sheet name="261" sheetId="171" r:id="rId53"/>
    <sheet name="271" sheetId="53" r:id="rId54"/>
    <sheet name="291" sheetId="172" r:id="rId55"/>
    <sheet name="301" sheetId="174" r:id="rId56"/>
    <sheet name="311" sheetId="177" r:id="rId57"/>
    <sheet name="321" sheetId="63" r:id="rId58"/>
    <sheet name="331" sheetId="23" r:id="rId59"/>
    <sheet name="341" sheetId="75" r:id="rId60"/>
    <sheet name="381" sheetId="125" r:id="rId61"/>
    <sheet name="391" sheetId="126" r:id="rId62"/>
    <sheet name="401" sheetId="184" r:id="rId63"/>
    <sheet name="411" sheetId="182" r:id="rId64"/>
    <sheet name="421" sheetId="198" r:id="rId65"/>
    <sheet name="431" sheetId="208" r:id="rId66"/>
    <sheet name="441" sheetId="216" r:id="rId67"/>
    <sheet name="451" sheetId="234" r:id="rId68"/>
    <sheet name="shaqaalaha 2015" sheetId="226" state="hidden" r:id="rId69"/>
    <sheet name="Shaqaalaha cusub 2015" sheetId="227" state="hidden" r:id="rId70"/>
    <sheet name="dakhliga guud" sheetId="217" state="hidden" r:id="rId71"/>
    <sheet name="shaqaalaha2011" sheetId="119" r:id="rId72"/>
    <sheet name="sookob2" sheetId="107" state="hidden" r:id="rId73"/>
    <sheet name="Noolka safarada Dibedda" sheetId="191" state="hidden" r:id="rId74"/>
    <sheet name="Iijaarka" sheetId="187" state="hidden" r:id="rId75"/>
    <sheet name="cafimadka" sheetId="190" state="hidden" r:id="rId76"/>
    <sheet name="Madaxweyne ku xigeenka" sheetId="194" state="hidden" r:id="rId77"/>
    <sheet name="Miisaaniyada Guud" sheetId="202" state="hidden" r:id="rId78"/>
    <sheet name="Dakhti&amp;kharash" sheetId="203" state="hidden" r:id="rId79"/>
    <sheet name="deegameynta Dakhliga" sheetId="204" state="hidden" r:id="rId80"/>
    <sheet name="madax-xigeyaasha dakhliga" sheetId="205" state="hidden" r:id="rId81"/>
    <sheet name="Sheet1" sheetId="206" state="hidden" r:id="rId82"/>
    <sheet name="Sheet2" sheetId="207" state="hidden" r:id="rId83"/>
    <sheet name="Sheet3" sheetId="211" state="hidden" r:id="rId84"/>
    <sheet name="Sheet5" sheetId="224" state="hidden" r:id="rId85"/>
    <sheet name="Dhakhliga Guud" sheetId="222" state="hidden" r:id="rId86"/>
  </sheets>
  <externalReferences>
    <externalReference r:id="rId87"/>
    <externalReference r:id="rId88"/>
  </externalReferences>
  <definedNames>
    <definedName name="_xlnm._FilterDatabase" localSheetId="8" hidden="1">'021'!$A$2:$N$55</definedName>
    <definedName name="_xlnm._FilterDatabase" localSheetId="9" hidden="1">'031'!$A$2:$O$39</definedName>
    <definedName name="_xlnm._FilterDatabase" localSheetId="10" hidden="1">'041'!$A$2:$O$38</definedName>
    <definedName name="_xlnm._FilterDatabase" localSheetId="11" hidden="1">'051'!$A$2:$S$32</definedName>
    <definedName name="_xlnm._FilterDatabase" localSheetId="12" hidden="1">'061'!$A$2:$M$33</definedName>
    <definedName name="_xlnm._FilterDatabase" localSheetId="13" hidden="1">'071'!$A$2:$N$31</definedName>
    <definedName name="_xlnm._FilterDatabase" localSheetId="19" hidden="1">'091'!$A$2:$N$34</definedName>
    <definedName name="_xlnm._FilterDatabase" localSheetId="20" hidden="1">'101'!$A$2:$N$30</definedName>
    <definedName name="_xlnm._FilterDatabase" localSheetId="21" hidden="1">'102'!$A$2:$V$34</definedName>
    <definedName name="_xlnm._FilterDatabase" localSheetId="26" hidden="1">'112'!$A$2:$N$34</definedName>
    <definedName name="_xlnm._FilterDatabase" localSheetId="28" hidden="1">'114'!$B$1:$B$45</definedName>
    <definedName name="_xlnm._FilterDatabase" localSheetId="35" hidden="1">'141'!$A$3:$T$32</definedName>
    <definedName name="_xlnm._FilterDatabase" localSheetId="38" hidden="1">'161'!$A$2:$U$38</definedName>
    <definedName name="_xlnm._FilterDatabase" localSheetId="39" hidden="1">'171'!$A$2:$N$38</definedName>
    <definedName name="_xlnm._FilterDatabase" localSheetId="41" hidden="1">'191'!$A$2:$T$30</definedName>
    <definedName name="_xlnm._FilterDatabase" localSheetId="49" hidden="1">'241'!$A$2:$B$38</definedName>
    <definedName name="_xlnm._FilterDatabase" localSheetId="58" hidden="1">'331'!$A$2:$U$36</definedName>
    <definedName name="_xlnm.Print_Area" localSheetId="6">'011-012'!$A$1:$Q$21</definedName>
    <definedName name="_xlnm.Print_Area" localSheetId="7">'013'!$A$1:$P$34</definedName>
    <definedName name="_xlnm.Print_Area" localSheetId="8">'021'!$A$1:$T$52</definedName>
    <definedName name="_xlnm.Print_Area" localSheetId="9">'031'!$A$1:$S$55</definedName>
    <definedName name="_xlnm.Print_Area" localSheetId="10">'041'!$A$1:$S$47</definedName>
    <definedName name="_xlnm.Print_Area" localSheetId="11">'051'!$A$1:$S$50</definedName>
    <definedName name="_xlnm.Print_Area" localSheetId="12">'061'!$A$1:$S$54</definedName>
    <definedName name="_xlnm.Print_Area" localSheetId="13">'071'!$A$1:$T$48</definedName>
    <definedName name="_xlnm.Print_Area" localSheetId="14">'081'!$A$1:$R$59</definedName>
    <definedName name="_xlnm.Print_Area" localSheetId="15">'082'!$A$1:$T$53</definedName>
    <definedName name="_xlnm.Print_Area" localSheetId="16">'083'!$A$1:$J$48</definedName>
    <definedName name="_xlnm.Print_Area" localSheetId="17">'084'!$A$1:$T$47</definedName>
    <definedName name="_xlnm.Print_Area" localSheetId="18">'085'!$A$1:$V$38</definedName>
    <definedName name="_xlnm.Print_Area" localSheetId="19">'091'!$A$1:$T$52</definedName>
    <definedName name="_xlnm.Print_Area" localSheetId="20">'101'!$A$1:$T$48</definedName>
    <definedName name="_xlnm.Print_Area" localSheetId="21">'102'!$A$1:$U$59</definedName>
    <definedName name="_xlnm.Print_Area" localSheetId="22">'103'!$A$1:$S$50</definedName>
    <definedName name="_xlnm.Print_Area" localSheetId="24">'105'!$A$1:$U$37</definedName>
    <definedName name="_xlnm.Print_Area" localSheetId="25">'111'!$A$1:$T$50</definedName>
    <definedName name="_xlnm.Print_Area" localSheetId="26">'112'!$A$1:$V$55</definedName>
    <definedName name="_xlnm.Print_Area" localSheetId="27">'113'!$A$1:$P$50</definedName>
    <definedName name="_xlnm.Print_Area" localSheetId="28">'114'!$A$1:$S$41</definedName>
    <definedName name="_xlnm.Print_Area" localSheetId="29">'115'!$A$1:$R$48</definedName>
    <definedName name="_xlnm.Print_Area" localSheetId="30">'116'!$A$1:$S$46</definedName>
    <definedName name="_xlnm.Print_Area" localSheetId="31">'117'!$A$1:$S$41</definedName>
    <definedName name="_xlnm.Print_Area" localSheetId="32">'121'!$A$1:$T$59</definedName>
    <definedName name="_xlnm.Print_Area" localSheetId="33">'131'!$A$1:$T$46</definedName>
    <definedName name="_xlnm.Print_Area" localSheetId="34">'132'!$A$1:$T$51</definedName>
    <definedName name="_xlnm.Print_Area" localSheetId="35">'141'!$A$1:$T$46</definedName>
    <definedName name="_xlnm.Print_Area" localSheetId="36">'151'!$A$1:$T$73</definedName>
    <definedName name="_xlnm.Print_Area" localSheetId="37">'152'!$A$1:$V$84</definedName>
    <definedName name="_xlnm.Print_Area" localSheetId="38">'161'!$A$1:$T$43</definedName>
    <definedName name="_xlnm.Print_Area" localSheetId="39">'171'!$A$1:$U$50</definedName>
    <definedName name="_xlnm.Print_Area" localSheetId="40">'181'!$A$1:$T$50</definedName>
    <definedName name="_xlnm.Print_Area" localSheetId="41">'191'!$A$1:$T$51</definedName>
    <definedName name="_xlnm.Print_Area" localSheetId="42">'201'!$A$1:$T$57</definedName>
    <definedName name="_xlnm.Print_Area" localSheetId="43">'211'!$A$1:$T$50</definedName>
    <definedName name="_xlnm.Print_Area" localSheetId="44">'221'!$A$1:$R$66</definedName>
    <definedName name="_xlnm.Print_Area" localSheetId="45">'222'!$A$1:$I$52</definedName>
    <definedName name="_xlnm.Print_Area" localSheetId="46">'223'!$A$1:$I$45</definedName>
    <definedName name="_xlnm.Print_Area" localSheetId="47">'231'!$A$1:$Q$66</definedName>
    <definedName name="_xlnm.Print_Area" localSheetId="49">'241'!$A$1:$R$50</definedName>
    <definedName name="_xlnm.Print_Area" localSheetId="50">'242'!$A$1:$F$42</definedName>
    <definedName name="_xlnm.Print_Area" localSheetId="51">'251'!$A$1:$S$48</definedName>
    <definedName name="_xlnm.Print_Area" localSheetId="52">'261'!$A$1:$S$59</definedName>
    <definedName name="_xlnm.Print_Area" localSheetId="53">'271'!$A$1:$S$51</definedName>
    <definedName name="_xlnm.Print_Area" localSheetId="54">'291'!$A$1:$S$51</definedName>
    <definedName name="_xlnm.Print_Area" localSheetId="55">'301'!$A$1:$Q$51</definedName>
    <definedName name="_xlnm.Print_Area" localSheetId="56">'311'!$A$1:$S$49</definedName>
    <definedName name="_xlnm.Print_Area" localSheetId="57">'321'!$A$1:$T$45</definedName>
    <definedName name="_xlnm.Print_Area" localSheetId="58">'331'!$A$1:$S$42</definedName>
    <definedName name="_xlnm.Print_Area" localSheetId="59">'341'!$A$1:$T$35</definedName>
    <definedName name="_xlnm.Print_Area" localSheetId="60">'381'!$A$1:$J$51</definedName>
    <definedName name="_xlnm.Print_Area" localSheetId="61">'391'!$A$1:$Q$48</definedName>
    <definedName name="_xlnm.Print_Area" localSheetId="62">'401'!$A$1:$S$58</definedName>
    <definedName name="_xlnm.Print_Area" localSheetId="63">'411'!$A$1:$I$55</definedName>
    <definedName name="_xlnm.Print_Area" localSheetId="64">'421'!$A$1:$I$44</definedName>
    <definedName name="_xlnm.Print_Area" localSheetId="65">'431'!$A$1:$U$50</definedName>
    <definedName name="_xlnm.Print_Area" localSheetId="66">'441'!$A$1:$H$55</definedName>
    <definedName name="_xlnm.Print_Area" localSheetId="67">'451'!$A$1:$J$48</definedName>
    <definedName name="_xlnm.Print_Area" localSheetId="2">'DAKHLIG GOOBAYSAN 2017'!$A$1:$U$26</definedName>
    <definedName name="_xlnm.Print_Area" localSheetId="74">Iijaarka!$A$1:$C$58</definedName>
    <definedName name="_xlnm.Print_Area" localSheetId="68">'shaqaalaha 2015'!$A$1:$H$65</definedName>
    <definedName name="_xlnm.Print_Area" localSheetId="4">'shaxda Guud'!$A$4:$D$19</definedName>
    <definedName name="_xlnm.Print_Area" localSheetId="81">Sheet1!$A$1:$D$9</definedName>
    <definedName name="_xlnm.Print_Area" localSheetId="83">Sheet3!$A$1:$O$58</definedName>
    <definedName name="_xlnm.Print_Area" localSheetId="3">'Soo koobida guud'!$A$1:$Q$65</definedName>
    <definedName name="_xlnm.Print_Area" localSheetId="72">sookob2!$A$1:$M$54</definedName>
    <definedName name="_xlnm.Print_Area" localSheetId="1">'SUB-HEADS'!$A$1:$F$85</definedName>
    <definedName name="_xlnm.Print_Area" localSheetId="5">'Sum 1'!$A$1:$S$65</definedName>
  </definedNames>
  <calcPr calcId="162913"/>
</workbook>
</file>

<file path=xl/calcChain.xml><?xml version="1.0" encoding="utf-8"?>
<calcChain xmlns="http://schemas.openxmlformats.org/spreadsheetml/2006/main">
  <c r="E83" i="238" l="1"/>
  <c r="E84" i="238" s="1"/>
  <c r="D83" i="238"/>
  <c r="D84" i="238" s="1"/>
  <c r="D85" i="238" s="1"/>
  <c r="F82" i="238"/>
  <c r="F81" i="238"/>
  <c r="F80" i="238"/>
  <c r="E79" i="238"/>
  <c r="F79" i="238" s="1"/>
  <c r="D79" i="238"/>
  <c r="F78" i="238"/>
  <c r="F77" i="238"/>
  <c r="E76" i="238"/>
  <c r="F76" i="238" s="1"/>
  <c r="D76" i="238"/>
  <c r="F75" i="238"/>
  <c r="F74" i="238"/>
  <c r="F73" i="238"/>
  <c r="E72" i="238"/>
  <c r="F72" i="238" s="1"/>
  <c r="D72" i="238"/>
  <c r="F71" i="238"/>
  <c r="F70" i="238"/>
  <c r="F69" i="238"/>
  <c r="F68" i="238"/>
  <c r="F67" i="238"/>
  <c r="F66" i="238"/>
  <c r="F65" i="238"/>
  <c r="F64" i="238"/>
  <c r="F63" i="238"/>
  <c r="F62" i="238"/>
  <c r="F61" i="238"/>
  <c r="F60" i="238"/>
  <c r="F59" i="238"/>
  <c r="F58" i="238"/>
  <c r="F57" i="238"/>
  <c r="E57" i="238"/>
  <c r="D57" i="238"/>
  <c r="F56" i="238"/>
  <c r="F55" i="238"/>
  <c r="F54" i="238"/>
  <c r="F53" i="238"/>
  <c r="F52" i="238"/>
  <c r="F51" i="238"/>
  <c r="E50" i="238"/>
  <c r="F50" i="238" s="1"/>
  <c r="D50" i="238"/>
  <c r="F49" i="238"/>
  <c r="F48" i="238"/>
  <c r="E47" i="238"/>
  <c r="F47" i="238" s="1"/>
  <c r="D47" i="238"/>
  <c r="F46" i="238"/>
  <c r="F45" i="238"/>
  <c r="F44" i="238"/>
  <c r="F43" i="238"/>
  <c r="F42" i="238"/>
  <c r="F41" i="238"/>
  <c r="F40" i="238"/>
  <c r="F39" i="238"/>
  <c r="F38" i="238"/>
  <c r="F37" i="238"/>
  <c r="F36" i="238"/>
  <c r="F35" i="238"/>
  <c r="E34" i="238"/>
  <c r="F34" i="238" s="1"/>
  <c r="D34" i="238"/>
  <c r="F33" i="238"/>
  <c r="F32" i="238"/>
  <c r="F31" i="238"/>
  <c r="F30" i="238"/>
  <c r="F29" i="238"/>
  <c r="E28" i="238"/>
  <c r="F28" i="238" s="1"/>
  <c r="D28" i="238"/>
  <c r="F27" i="238"/>
  <c r="F26" i="238"/>
  <c r="F25" i="238"/>
  <c r="F24" i="238"/>
  <c r="F23" i="238"/>
  <c r="F22" i="238"/>
  <c r="F21" i="238"/>
  <c r="F20" i="238"/>
  <c r="F19" i="238"/>
  <c r="F18" i="238"/>
  <c r="F17" i="238"/>
  <c r="E16" i="238"/>
  <c r="F16" i="238" s="1"/>
  <c r="D16" i="238"/>
  <c r="F15" i="238"/>
  <c r="F14" i="238"/>
  <c r="F13" i="238"/>
  <c r="F12" i="238"/>
  <c r="F11" i="238"/>
  <c r="E10" i="238"/>
  <c r="F10" i="238" s="1"/>
  <c r="D10" i="238"/>
  <c r="F9" i="238"/>
  <c r="F8" i="238"/>
  <c r="F7" i="238"/>
  <c r="E6" i="238"/>
  <c r="F6" i="238" s="1"/>
  <c r="D6" i="238"/>
  <c r="F5" i="238"/>
  <c r="F4" i="238"/>
  <c r="F3" i="238"/>
  <c r="F2" i="238"/>
  <c r="C24" i="237"/>
  <c r="E85" i="238" l="1"/>
  <c r="F85" i="238" s="1"/>
  <c r="F84" i="238"/>
  <c r="F83" i="238"/>
  <c r="T77" i="210" l="1"/>
  <c r="U77" i="210"/>
  <c r="U57" i="210"/>
  <c r="T57" i="210"/>
  <c r="S32" i="176"/>
  <c r="S51" i="168" l="1"/>
  <c r="S46" i="165"/>
  <c r="R73" i="176"/>
  <c r="V50" i="210" l="1"/>
  <c r="V51" i="210"/>
  <c r="P33" i="214" l="1"/>
  <c r="O33" i="214"/>
  <c r="I33" i="214"/>
  <c r="H33" i="214"/>
  <c r="G33" i="214"/>
  <c r="E33" i="214"/>
  <c r="Q35" i="214"/>
  <c r="Q36" i="214"/>
  <c r="Q37" i="214"/>
  <c r="Q38" i="214"/>
  <c r="Q40" i="214"/>
  <c r="Q41" i="214"/>
  <c r="Q42" i="214"/>
  <c r="Q43" i="214"/>
  <c r="Q44" i="214"/>
  <c r="Q45" i="214"/>
  <c r="Q46" i="214"/>
  <c r="Q47" i="214"/>
  <c r="Q48" i="214"/>
  <c r="Q50" i="214"/>
  <c r="Q51" i="214"/>
  <c r="Q52" i="214"/>
  <c r="Q53" i="214"/>
  <c r="Q54" i="214"/>
  <c r="Q55" i="214"/>
  <c r="Q56" i="214"/>
  <c r="Q57" i="214"/>
  <c r="Q58" i="214"/>
  <c r="Q60" i="214"/>
  <c r="Q61" i="214"/>
  <c r="Q62" i="214"/>
  <c r="Q64" i="214"/>
  <c r="P60" i="214"/>
  <c r="Q10" i="214"/>
  <c r="Q11" i="214"/>
  <c r="Q12" i="214"/>
  <c r="Q13" i="214"/>
  <c r="Q14" i="214"/>
  <c r="Q15" i="214"/>
  <c r="Q16" i="214"/>
  <c r="Q17" i="214"/>
  <c r="Q18" i="214"/>
  <c r="Q19" i="214"/>
  <c r="Q20" i="214"/>
  <c r="Q21" i="214"/>
  <c r="Q22" i="214"/>
  <c r="Q23" i="214"/>
  <c r="Q24" i="214"/>
  <c r="Q25" i="214"/>
  <c r="Q26" i="214"/>
  <c r="Q27" i="214"/>
  <c r="Q28" i="214"/>
  <c r="Q29" i="214"/>
  <c r="Q30" i="214"/>
  <c r="Q31" i="214"/>
  <c r="Q32" i="214"/>
  <c r="U9" i="210"/>
  <c r="Q57" i="59"/>
  <c r="Q29" i="59"/>
  <c r="U17" i="210"/>
  <c r="U15" i="210" l="1"/>
  <c r="P65" i="214" l="1"/>
  <c r="C18" i="197" s="1"/>
  <c r="P32" i="214"/>
  <c r="P9" i="214"/>
  <c r="H54" i="182"/>
  <c r="T67" i="176"/>
  <c r="S72" i="176"/>
  <c r="T43" i="35"/>
  <c r="T44" i="35"/>
  <c r="T45" i="35"/>
  <c r="S45" i="35"/>
  <c r="R53" i="19"/>
  <c r="S51" i="19"/>
  <c r="S52" i="19"/>
  <c r="S9" i="184" l="1"/>
  <c r="R12" i="184"/>
  <c r="T25" i="236" l="1"/>
  <c r="T26" i="236" s="1"/>
  <c r="S25" i="236"/>
  <c r="S26" i="236" s="1"/>
  <c r="R25" i="236"/>
  <c r="R26" i="236" s="1"/>
  <c r="Q25" i="236"/>
  <c r="Q26" i="236" s="1"/>
  <c r="P25" i="236"/>
  <c r="P26" i="236" s="1"/>
  <c r="O25" i="236"/>
  <c r="O26" i="236" s="1"/>
  <c r="N25" i="236"/>
  <c r="N26" i="236" s="1"/>
  <c r="M25" i="236"/>
  <c r="M26" i="236" s="1"/>
  <c r="L25" i="236"/>
  <c r="L26" i="236" s="1"/>
  <c r="K25" i="236"/>
  <c r="K26" i="236" s="1"/>
  <c r="J25" i="236"/>
  <c r="J26" i="236" s="1"/>
  <c r="I25" i="236"/>
  <c r="I26" i="236" s="1"/>
  <c r="H25" i="236"/>
  <c r="H26" i="236" s="1"/>
  <c r="G25" i="236"/>
  <c r="G26" i="236" s="1"/>
  <c r="F25" i="236"/>
  <c r="E25" i="236"/>
  <c r="E26" i="236" s="1"/>
  <c r="D25" i="236"/>
  <c r="C25" i="236"/>
  <c r="C26" i="236" s="1"/>
  <c r="B25" i="236"/>
  <c r="U24" i="236"/>
  <c r="U23" i="236"/>
  <c r="U22" i="236"/>
  <c r="U21" i="236"/>
  <c r="U20" i="236"/>
  <c r="U19" i="236"/>
  <c r="U18" i="236"/>
  <c r="U17" i="236"/>
  <c r="U16" i="236"/>
  <c r="U15" i="236"/>
  <c r="U14" i="236"/>
  <c r="U13" i="236"/>
  <c r="U12" i="236"/>
  <c r="U11" i="236"/>
  <c r="U10" i="236"/>
  <c r="U9" i="236"/>
  <c r="U8" i="236"/>
  <c r="U7" i="236"/>
  <c r="U25" i="236" s="1"/>
  <c r="T6" i="236"/>
  <c r="S6" i="236"/>
  <c r="R6" i="236"/>
  <c r="Q6" i="236"/>
  <c r="P6" i="236"/>
  <c r="O6" i="236"/>
  <c r="N6" i="236"/>
  <c r="M6" i="236"/>
  <c r="L6" i="236"/>
  <c r="K6" i="236"/>
  <c r="J6" i="236"/>
  <c r="I6" i="236"/>
  <c r="H6" i="236"/>
  <c r="G6" i="236"/>
  <c r="F6" i="236"/>
  <c r="E6" i="236"/>
  <c r="D6" i="236"/>
  <c r="C6" i="236"/>
  <c r="B6" i="236"/>
  <c r="U5" i="236"/>
  <c r="U4" i="236"/>
  <c r="U3" i="236"/>
  <c r="U2" i="236"/>
  <c r="B26" i="236" l="1"/>
  <c r="U6" i="236"/>
  <c r="U26" i="236" s="1"/>
  <c r="D26" i="236"/>
  <c r="F26" i="236"/>
  <c r="O49" i="92" l="1"/>
  <c r="O24" i="214" s="1"/>
  <c r="P45" i="92" l="1"/>
  <c r="T38" i="176"/>
  <c r="T39" i="176"/>
  <c r="R28" i="59" l="1"/>
  <c r="P55" i="178"/>
  <c r="R54" i="178"/>
  <c r="R53" i="178"/>
  <c r="U53" i="210"/>
  <c r="V27" i="210"/>
  <c r="J20" i="234"/>
  <c r="J21" i="234"/>
  <c r="T6" i="170" l="1"/>
  <c r="T5" i="25"/>
  <c r="Q10" i="59" l="1"/>
  <c r="U35" i="210" l="1"/>
  <c r="S38" i="162" l="1"/>
  <c r="U72" i="210" l="1"/>
  <c r="O8" i="92"/>
  <c r="H51" i="200" l="1"/>
  <c r="O42" i="214" s="1"/>
  <c r="Q55" i="178"/>
  <c r="Q50" i="44" l="1"/>
  <c r="S46" i="169" l="1"/>
  <c r="L37" i="214" s="1"/>
  <c r="V19" i="210" l="1"/>
  <c r="V20" i="210"/>
  <c r="V21" i="210"/>
  <c r="V22" i="210"/>
  <c r="T42" i="210" l="1"/>
  <c r="V42" i="210" s="1"/>
  <c r="R31" i="59" l="1"/>
  <c r="I41" i="234" l="1"/>
  <c r="I64" i="214" s="1"/>
  <c r="S51" i="162"/>
  <c r="S57" i="162"/>
  <c r="I47" i="234" l="1"/>
  <c r="G47" i="234"/>
  <c r="J46" i="234"/>
  <c r="J45" i="234"/>
  <c r="I44" i="234"/>
  <c r="J64" i="214" s="1"/>
  <c r="G44" i="234"/>
  <c r="J43" i="234"/>
  <c r="J42" i="234"/>
  <c r="G41" i="234"/>
  <c r="F41" i="234"/>
  <c r="E41" i="234"/>
  <c r="C41" i="234"/>
  <c r="J40" i="234"/>
  <c r="D40" i="234"/>
  <c r="J39" i="234"/>
  <c r="D39" i="234"/>
  <c r="J38" i="234"/>
  <c r="D38" i="234"/>
  <c r="J37" i="234"/>
  <c r="D37" i="234"/>
  <c r="J36" i="234"/>
  <c r="J35" i="234"/>
  <c r="I34" i="234"/>
  <c r="H64" i="214" s="1"/>
  <c r="G34" i="234"/>
  <c r="J33" i="234"/>
  <c r="J32" i="234"/>
  <c r="F32" i="234"/>
  <c r="F34" i="234" s="1"/>
  <c r="E32" i="234"/>
  <c r="E34" i="234" s="1"/>
  <c r="D32" i="234"/>
  <c r="D34" i="234" s="1"/>
  <c r="J31" i="234"/>
  <c r="I30" i="234"/>
  <c r="J29" i="234"/>
  <c r="J28" i="234"/>
  <c r="J27" i="234"/>
  <c r="G27" i="234"/>
  <c r="G30" i="234" s="1"/>
  <c r="F27" i="234"/>
  <c r="F30" i="234" s="1"/>
  <c r="E27" i="234"/>
  <c r="E30" i="234" s="1"/>
  <c r="D27" i="234"/>
  <c r="J26" i="234"/>
  <c r="D26" i="234"/>
  <c r="J25" i="234"/>
  <c r="J24" i="234"/>
  <c r="J22" i="234"/>
  <c r="J19" i="234"/>
  <c r="J18" i="234"/>
  <c r="J17" i="234"/>
  <c r="J16" i="234"/>
  <c r="F16" i="234"/>
  <c r="G16" i="234" s="1"/>
  <c r="J15" i="234"/>
  <c r="I23" i="234"/>
  <c r="F64" i="214" s="1"/>
  <c r="J14" i="234"/>
  <c r="G14" i="234"/>
  <c r="F14" i="234"/>
  <c r="E14" i="234"/>
  <c r="D14" i="234"/>
  <c r="J13" i="234"/>
  <c r="G13" i="234"/>
  <c r="F13" i="234"/>
  <c r="E13" i="234"/>
  <c r="D13" i="234"/>
  <c r="J12" i="234"/>
  <c r="J11" i="234"/>
  <c r="J10" i="234"/>
  <c r="J9" i="234"/>
  <c r="I8" i="234"/>
  <c r="D64" i="214" s="1"/>
  <c r="G8" i="234"/>
  <c r="F8" i="234"/>
  <c r="E8" i="234"/>
  <c r="D8" i="234"/>
  <c r="C8" i="234"/>
  <c r="C18" i="234" s="1"/>
  <c r="J7" i="234"/>
  <c r="C7" i="234"/>
  <c r="J6" i="234"/>
  <c r="J5" i="234"/>
  <c r="J47" i="234" l="1"/>
  <c r="O64" i="214"/>
  <c r="J30" i="234"/>
  <c r="G64" i="214"/>
  <c r="J41" i="234"/>
  <c r="D23" i="234"/>
  <c r="D41" i="234"/>
  <c r="G23" i="234"/>
  <c r="J44" i="234"/>
  <c r="J8" i="234"/>
  <c r="E23" i="234"/>
  <c r="E48" i="234" s="1"/>
  <c r="J34" i="234"/>
  <c r="F23" i="234"/>
  <c r="F48" i="234" s="1"/>
  <c r="J23" i="234"/>
  <c r="D30" i="234"/>
  <c r="G48" i="234"/>
  <c r="I48" i="234"/>
  <c r="J48" i="234" l="1"/>
  <c r="R64" i="181"/>
  <c r="D48" i="234"/>
  <c r="S48" i="53"/>
  <c r="S49" i="53"/>
  <c r="R50" i="53"/>
  <c r="K50" i="214" s="1"/>
  <c r="Q50" i="53"/>
  <c r="S50" i="53" l="1"/>
  <c r="S64" i="181"/>
  <c r="Q49" i="44" l="1"/>
  <c r="Q45" i="126" l="1"/>
  <c r="Q46" i="126"/>
  <c r="S46" i="177"/>
  <c r="S47" i="177"/>
  <c r="Q48" i="174"/>
  <c r="Q49" i="174"/>
  <c r="T51" i="41"/>
  <c r="T52" i="41"/>
  <c r="T54" i="41"/>
  <c r="T55" i="41"/>
  <c r="T43" i="165"/>
  <c r="T44" i="165"/>
  <c r="S5" i="175"/>
  <c r="S6" i="175"/>
  <c r="S7" i="175"/>
  <c r="S8" i="175"/>
  <c r="S10" i="175"/>
  <c r="S11" i="175"/>
  <c r="S12" i="175"/>
  <c r="S13" i="175"/>
  <c r="S15" i="175"/>
  <c r="S16" i="175"/>
  <c r="S17" i="175"/>
  <c r="S18" i="175"/>
  <c r="S19" i="175"/>
  <c r="S20" i="175"/>
  <c r="S21" i="175"/>
  <c r="S22" i="175"/>
  <c r="S24" i="175"/>
  <c r="S27" i="175"/>
  <c r="S29" i="175"/>
  <c r="S30" i="175"/>
  <c r="S31" i="175"/>
  <c r="S32" i="175"/>
  <c r="S35" i="175"/>
  <c r="S36" i="175"/>
  <c r="S38" i="175"/>
  <c r="S40" i="175"/>
  <c r="S41" i="175"/>
  <c r="S43" i="175"/>
  <c r="S44" i="175"/>
  <c r="S45" i="175"/>
  <c r="S47" i="175"/>
  <c r="Q9" i="175"/>
  <c r="U5" i="28"/>
  <c r="U6" i="28"/>
  <c r="U8" i="28"/>
  <c r="U9" i="28"/>
  <c r="U10" i="28"/>
  <c r="U11" i="28"/>
  <c r="U12" i="28"/>
  <c r="U14" i="28"/>
  <c r="U15" i="28"/>
  <c r="U19" i="28"/>
  <c r="U20" i="28"/>
  <c r="U21" i="28"/>
  <c r="U23" i="28"/>
  <c r="U24" i="28"/>
  <c r="U25" i="28"/>
  <c r="U26" i="28"/>
  <c r="U28" i="28"/>
  <c r="U29" i="28"/>
  <c r="U30" i="28"/>
  <c r="U31" i="28"/>
  <c r="U33" i="28"/>
  <c r="U35" i="28"/>
  <c r="U37" i="28"/>
  <c r="U38" i="28"/>
  <c r="U41" i="28"/>
  <c r="U42" i="28"/>
  <c r="U43" i="28"/>
  <c r="U44" i="28"/>
  <c r="U45" i="28"/>
  <c r="U48" i="28"/>
  <c r="U50" i="28"/>
  <c r="U51" i="28"/>
  <c r="U53" i="28"/>
  <c r="U54" i="28"/>
  <c r="U56" i="28"/>
  <c r="U57" i="28"/>
  <c r="T6" i="25"/>
  <c r="T7" i="25"/>
  <c r="T8" i="25"/>
  <c r="T9" i="25"/>
  <c r="T10" i="25"/>
  <c r="T11" i="25"/>
  <c r="T12" i="25"/>
  <c r="T13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8" i="25"/>
  <c r="T29" i="25"/>
  <c r="T30" i="25"/>
  <c r="T31" i="25"/>
  <c r="T32" i="25"/>
  <c r="T34" i="25"/>
  <c r="T35" i="25"/>
  <c r="T38" i="25"/>
  <c r="T39" i="25"/>
  <c r="T40" i="25"/>
  <c r="T41" i="25"/>
  <c r="T42" i="25"/>
  <c r="T43" i="25"/>
  <c r="T45" i="25"/>
  <c r="T46" i="25"/>
  <c r="T5" i="212"/>
  <c r="T6" i="212"/>
  <c r="T8" i="212"/>
  <c r="T9" i="212"/>
  <c r="T10" i="212"/>
  <c r="T11" i="212"/>
  <c r="T12" i="212"/>
  <c r="T13" i="212"/>
  <c r="T14" i="212"/>
  <c r="T15" i="212"/>
  <c r="T16" i="212"/>
  <c r="T17" i="212"/>
  <c r="T18" i="212"/>
  <c r="T19" i="212"/>
  <c r="T20" i="212"/>
  <c r="T21" i="212"/>
  <c r="T23" i="212"/>
  <c r="T24" i="212"/>
  <c r="T25" i="212"/>
  <c r="T26" i="212"/>
  <c r="T27" i="212"/>
  <c r="T28" i="212"/>
  <c r="T29" i="212"/>
  <c r="T30" i="212"/>
  <c r="T32" i="212"/>
  <c r="T33" i="212"/>
  <c r="T34" i="212"/>
  <c r="T37" i="212"/>
  <c r="T38" i="212"/>
  <c r="T40" i="212"/>
  <c r="T41" i="212"/>
  <c r="T42" i="212"/>
  <c r="T44" i="212"/>
  <c r="T45" i="212"/>
  <c r="J5" i="185"/>
  <c r="J6" i="185"/>
  <c r="J7" i="185"/>
  <c r="J9" i="185"/>
  <c r="J10" i="185"/>
  <c r="J11" i="185"/>
  <c r="J12" i="185"/>
  <c r="J13" i="185"/>
  <c r="J14" i="185"/>
  <c r="J15" i="185"/>
  <c r="J16" i="185"/>
  <c r="J17" i="185"/>
  <c r="J18" i="185"/>
  <c r="J19" i="185"/>
  <c r="J20" i="185"/>
  <c r="J21" i="185"/>
  <c r="J22" i="185"/>
  <c r="J23" i="185"/>
  <c r="J24" i="185"/>
  <c r="J25" i="185"/>
  <c r="J27" i="185"/>
  <c r="J28" i="185"/>
  <c r="J29" i="185"/>
  <c r="J30" i="185"/>
  <c r="J31" i="185"/>
  <c r="J32" i="185"/>
  <c r="J34" i="185"/>
  <c r="J35" i="185"/>
  <c r="J36" i="185"/>
  <c r="J38" i="185"/>
  <c r="J39" i="185"/>
  <c r="J40" i="185"/>
  <c r="J41" i="185"/>
  <c r="J42" i="185"/>
  <c r="J43" i="185"/>
  <c r="J45" i="185"/>
  <c r="J46" i="185"/>
  <c r="T6" i="100"/>
  <c r="T8" i="100"/>
  <c r="T10" i="100"/>
  <c r="T11" i="100"/>
  <c r="T12" i="100"/>
  <c r="T14" i="100"/>
  <c r="T15" i="100"/>
  <c r="T16" i="100"/>
  <c r="T17" i="100"/>
  <c r="T18" i="100"/>
  <c r="T19" i="100"/>
  <c r="T20" i="100"/>
  <c r="T21" i="100"/>
  <c r="T22" i="100"/>
  <c r="T23" i="100"/>
  <c r="T24" i="100"/>
  <c r="T25" i="100"/>
  <c r="T26" i="100"/>
  <c r="T28" i="100"/>
  <c r="T29" i="100"/>
  <c r="T30" i="100"/>
  <c r="T31" i="100"/>
  <c r="T33" i="100"/>
  <c r="T34" i="100"/>
  <c r="T35" i="100"/>
  <c r="T37" i="100"/>
  <c r="T38" i="100"/>
  <c r="T40" i="100"/>
  <c r="T42" i="100"/>
  <c r="T43" i="100"/>
  <c r="T44" i="100"/>
  <c r="T45" i="100"/>
  <c r="T46" i="100"/>
  <c r="T47" i="100"/>
  <c r="T50" i="100"/>
  <c r="T51" i="100"/>
  <c r="S6" i="19"/>
  <c r="S7" i="19"/>
  <c r="S8" i="19"/>
  <c r="S10" i="19"/>
  <c r="S11" i="19"/>
  <c r="S12" i="19"/>
  <c r="S13" i="19"/>
  <c r="S15" i="19"/>
  <c r="S16" i="19"/>
  <c r="S17" i="19"/>
  <c r="S19" i="19"/>
  <c r="S20" i="19"/>
  <c r="S22" i="19"/>
  <c r="S23" i="19"/>
  <c r="S24" i="19"/>
  <c r="S25" i="19"/>
  <c r="S28" i="19"/>
  <c r="S29" i="19"/>
  <c r="S30" i="19"/>
  <c r="S31" i="19"/>
  <c r="S33" i="19"/>
  <c r="S35" i="19"/>
  <c r="S36" i="19"/>
  <c r="S38" i="19"/>
  <c r="S40" i="19"/>
  <c r="S41" i="19"/>
  <c r="S42" i="19"/>
  <c r="S43" i="19"/>
  <c r="S45" i="19"/>
  <c r="S46" i="19"/>
  <c r="S48" i="19"/>
  <c r="S49" i="19"/>
  <c r="S6" i="18"/>
  <c r="S7" i="18"/>
  <c r="S8" i="18"/>
  <c r="S9" i="18"/>
  <c r="S10" i="18"/>
  <c r="S12" i="18"/>
  <c r="S13" i="18"/>
  <c r="S14" i="18"/>
  <c r="S15" i="18"/>
  <c r="S16" i="18"/>
  <c r="S17" i="18"/>
  <c r="S18" i="18"/>
  <c r="S19" i="18"/>
  <c r="S20" i="18"/>
  <c r="S21" i="18"/>
  <c r="S22" i="18"/>
  <c r="S24" i="18"/>
  <c r="S25" i="18"/>
  <c r="S26" i="18"/>
  <c r="S27" i="18"/>
  <c r="S29" i="18"/>
  <c r="S30" i="18"/>
  <c r="S31" i="18"/>
  <c r="S32" i="18"/>
  <c r="S33" i="18"/>
  <c r="S34" i="18"/>
  <c r="S36" i="18"/>
  <c r="S37" i="18"/>
  <c r="S39" i="18"/>
  <c r="S41" i="18"/>
  <c r="S42" i="18"/>
  <c r="S43" i="18"/>
  <c r="S44" i="18"/>
  <c r="S45" i="18"/>
  <c r="S46" i="18"/>
  <c r="S48" i="18"/>
  <c r="S49" i="18"/>
  <c r="S6" i="16"/>
  <c r="S7" i="16"/>
  <c r="S8" i="16"/>
  <c r="S9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7" i="16"/>
  <c r="S28" i="16"/>
  <c r="S29" i="16"/>
  <c r="S30" i="16"/>
  <c r="S31" i="16"/>
  <c r="S32" i="16"/>
  <c r="S34" i="16"/>
  <c r="S35" i="16"/>
  <c r="S36" i="16"/>
  <c r="S37" i="16"/>
  <c r="S39" i="16"/>
  <c r="S40" i="16"/>
  <c r="S41" i="16"/>
  <c r="S42" i="16"/>
  <c r="S43" i="16"/>
  <c r="S44" i="16"/>
  <c r="S45" i="16"/>
  <c r="S6" i="17"/>
  <c r="S7" i="17"/>
  <c r="S8" i="17"/>
  <c r="S9" i="17"/>
  <c r="S10" i="17"/>
  <c r="S11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1" i="17"/>
  <c r="S32" i="17"/>
  <c r="S33" i="17"/>
  <c r="S34" i="17"/>
  <c r="S35" i="17"/>
  <c r="S37" i="17"/>
  <c r="S38" i="17"/>
  <c r="S39" i="17"/>
  <c r="S40" i="17"/>
  <c r="S42" i="17"/>
  <c r="S43" i="17"/>
  <c r="S44" i="17"/>
  <c r="S45" i="17"/>
  <c r="S46" i="17"/>
  <c r="S47" i="17"/>
  <c r="S49" i="17"/>
  <c r="S50" i="17"/>
  <c r="S52" i="17"/>
  <c r="S53" i="17"/>
  <c r="S51" i="83"/>
  <c r="O5" i="214" s="1"/>
  <c r="T6" i="83"/>
  <c r="T7" i="83"/>
  <c r="T8" i="83"/>
  <c r="T9" i="83"/>
  <c r="T10" i="83"/>
  <c r="T12" i="83"/>
  <c r="T13" i="83"/>
  <c r="T14" i="83"/>
  <c r="T15" i="83"/>
  <c r="T16" i="83"/>
  <c r="T17" i="83"/>
  <c r="T19" i="83"/>
  <c r="T20" i="83"/>
  <c r="T21" i="83"/>
  <c r="T22" i="83"/>
  <c r="T23" i="83"/>
  <c r="T24" i="83"/>
  <c r="T25" i="83"/>
  <c r="T26" i="83"/>
  <c r="T27" i="83"/>
  <c r="T29" i="83"/>
  <c r="T30" i="83"/>
  <c r="T31" i="83"/>
  <c r="T32" i="83"/>
  <c r="T33" i="83"/>
  <c r="T35" i="83"/>
  <c r="T36" i="83"/>
  <c r="T37" i="83"/>
  <c r="T38" i="83"/>
  <c r="T40" i="83"/>
  <c r="T41" i="83"/>
  <c r="T42" i="83"/>
  <c r="T43" i="83"/>
  <c r="T44" i="83"/>
  <c r="T46" i="83"/>
  <c r="T47" i="83"/>
  <c r="T49" i="83"/>
  <c r="T50" i="83"/>
  <c r="P6" i="91"/>
  <c r="P7" i="91"/>
  <c r="P8" i="91"/>
  <c r="P9" i="91"/>
  <c r="P11" i="91"/>
  <c r="P12" i="91"/>
  <c r="P13" i="91"/>
  <c r="P14" i="91"/>
  <c r="P15" i="91"/>
  <c r="P16" i="91"/>
  <c r="P17" i="91"/>
  <c r="P18" i="91"/>
  <c r="P19" i="91"/>
  <c r="P20" i="91"/>
  <c r="P21" i="91"/>
  <c r="P23" i="91"/>
  <c r="P24" i="91"/>
  <c r="P25" i="91"/>
  <c r="P26" i="91"/>
  <c r="P29" i="91"/>
  <c r="P30" i="91"/>
  <c r="P31" i="91"/>
  <c r="P32" i="91"/>
  <c r="T51" i="83" l="1"/>
  <c r="P47" i="126"/>
  <c r="O58" i="214" l="1"/>
  <c r="Q47" i="126"/>
  <c r="R48" i="177"/>
  <c r="O53" i="214" l="1"/>
  <c r="S48" i="177"/>
  <c r="L9" i="214" l="1"/>
  <c r="O8" i="214"/>
  <c r="D59" i="214"/>
  <c r="Q59" i="214" s="1"/>
  <c r="R8" i="233" l="1"/>
  <c r="R45" i="233"/>
  <c r="J27" i="214" s="1"/>
  <c r="R40" i="233"/>
  <c r="I27" i="214" s="1"/>
  <c r="R29" i="233"/>
  <c r="R24" i="233"/>
  <c r="S20" i="233" l="1"/>
  <c r="U47" i="208" l="1"/>
  <c r="U48" i="208"/>
  <c r="T18" i="162"/>
  <c r="S45" i="165"/>
  <c r="P50" i="174"/>
  <c r="Q42" i="44"/>
  <c r="Q43" i="44"/>
  <c r="Q44" i="44"/>
  <c r="Q45" i="44"/>
  <c r="Q47" i="44"/>
  <c r="Q48" i="44"/>
  <c r="V25" i="31"/>
  <c r="H23" i="200"/>
  <c r="I17" i="200"/>
  <c r="I18" i="200"/>
  <c r="I19" i="200"/>
  <c r="Q50" i="174" l="1"/>
  <c r="O52" i="214"/>
  <c r="T45" i="165"/>
  <c r="O30" i="214"/>
  <c r="R33" i="233"/>
  <c r="G27" i="214"/>
  <c r="F27" i="214"/>
  <c r="Q14" i="175"/>
  <c r="R14" i="175"/>
  <c r="S14" i="175" s="1"/>
  <c r="R9" i="175"/>
  <c r="S44" i="21"/>
  <c r="I10" i="214" s="1"/>
  <c r="H27" i="214" l="1"/>
  <c r="R46" i="233"/>
  <c r="D19" i="214"/>
  <c r="S9" i="175"/>
  <c r="T49" i="208"/>
  <c r="T16" i="37"/>
  <c r="T47" i="170"/>
  <c r="T48" i="170"/>
  <c r="S49" i="170"/>
  <c r="O40" i="214" s="1"/>
  <c r="T49" i="170" l="1"/>
  <c r="O62" i="214"/>
  <c r="U49" i="208"/>
  <c r="L34" i="214"/>
  <c r="Q49" i="46" l="1"/>
  <c r="R47" i="46"/>
  <c r="R48" i="46"/>
  <c r="R63" i="178"/>
  <c r="R64" i="178"/>
  <c r="Q65" i="178"/>
  <c r="U47" i="38"/>
  <c r="U48" i="38"/>
  <c r="T49" i="38"/>
  <c r="O36" i="214" s="1"/>
  <c r="U49" i="38" l="1"/>
  <c r="R49" i="46"/>
  <c r="O46" i="214"/>
  <c r="R65" i="178"/>
  <c r="O41" i="214"/>
  <c r="S56" i="41"/>
  <c r="T56" i="41" l="1"/>
  <c r="O39" i="214"/>
  <c r="T21" i="162"/>
  <c r="J41" i="214"/>
  <c r="S6" i="184" l="1"/>
  <c r="I8" i="185" l="1"/>
  <c r="D13" i="214" l="1"/>
  <c r="V25" i="210"/>
  <c r="H24" i="216"/>
  <c r="H25" i="216"/>
  <c r="H26" i="216"/>
  <c r="U22" i="208"/>
  <c r="T23" i="208"/>
  <c r="F62" i="214" s="1"/>
  <c r="T42" i="63"/>
  <c r="T43" i="63"/>
  <c r="S44" i="63"/>
  <c r="J54" i="214" s="1"/>
  <c r="S24" i="53"/>
  <c r="S18" i="180"/>
  <c r="S14" i="180"/>
  <c r="Q25" i="44"/>
  <c r="Q26" i="44"/>
  <c r="Q21" i="44"/>
  <c r="Q22" i="44"/>
  <c r="Q18" i="44"/>
  <c r="T44" i="63" l="1"/>
  <c r="I42" i="189"/>
  <c r="I43" i="189"/>
  <c r="H44" i="189"/>
  <c r="J43" i="214" s="1"/>
  <c r="I44" i="189" l="1"/>
  <c r="R59" i="178"/>
  <c r="R60" i="178"/>
  <c r="R61" i="178"/>
  <c r="T23" i="170"/>
  <c r="T23" i="41"/>
  <c r="S41" i="233"/>
  <c r="S42" i="233"/>
  <c r="S43" i="233"/>
  <c r="S44" i="233"/>
  <c r="S45" i="233"/>
  <c r="R46" i="163"/>
  <c r="Q47" i="163"/>
  <c r="U54" i="31"/>
  <c r="V52" i="31"/>
  <c r="V53" i="31"/>
  <c r="S49" i="183"/>
  <c r="O22" i="214" s="1"/>
  <c r="U16" i="114"/>
  <c r="U17" i="114"/>
  <c r="U18" i="114"/>
  <c r="U19" i="114"/>
  <c r="U20" i="114"/>
  <c r="V54" i="31" l="1"/>
  <c r="O23" i="214"/>
  <c r="I26" i="214"/>
  <c r="T40" i="21"/>
  <c r="T41" i="21"/>
  <c r="T42" i="21"/>
  <c r="T43" i="21"/>
  <c r="N19" i="1" l="1"/>
  <c r="N20" i="1"/>
  <c r="N18" i="1"/>
  <c r="N5" i="1"/>
  <c r="N6" i="1"/>
  <c r="N4" i="1"/>
  <c r="M21" i="1"/>
  <c r="R3" i="181" s="1"/>
  <c r="M7" i="1"/>
  <c r="H6" i="216"/>
  <c r="H7" i="216"/>
  <c r="H8" i="216"/>
  <c r="H10" i="216"/>
  <c r="H11" i="216"/>
  <c r="H12" i="216"/>
  <c r="H13" i="216"/>
  <c r="H14" i="216"/>
  <c r="H15" i="216"/>
  <c r="H16" i="216"/>
  <c r="H17" i="216"/>
  <c r="H18" i="216"/>
  <c r="H19" i="216"/>
  <c r="H21" i="216"/>
  <c r="H22" i="216"/>
  <c r="H23" i="216"/>
  <c r="H28" i="216"/>
  <c r="H29" i="216"/>
  <c r="H30" i="216"/>
  <c r="H31" i="216"/>
  <c r="H33" i="216"/>
  <c r="H35" i="216"/>
  <c r="H36" i="216"/>
  <c r="H37" i="216"/>
  <c r="H38" i="216"/>
  <c r="H39" i="216"/>
  <c r="H40" i="216"/>
  <c r="H43" i="216"/>
  <c r="H44" i="216"/>
  <c r="H45" i="216"/>
  <c r="H46" i="216"/>
  <c r="H48" i="216"/>
  <c r="H49" i="216"/>
  <c r="H50" i="216"/>
  <c r="H52" i="216"/>
  <c r="H53" i="216"/>
  <c r="H5" i="216"/>
  <c r="G54" i="216"/>
  <c r="G51" i="216"/>
  <c r="J63" i="214" s="1"/>
  <c r="G47" i="216"/>
  <c r="G41" i="216"/>
  <c r="G42" i="216" s="1"/>
  <c r="H63" i="214" s="1"/>
  <c r="G32" i="216"/>
  <c r="G34" i="216" s="1"/>
  <c r="G63" i="214" s="1"/>
  <c r="G20" i="216"/>
  <c r="G27" i="216" s="1"/>
  <c r="F63" i="214" s="1"/>
  <c r="G9" i="216"/>
  <c r="D63" i="214" s="1"/>
  <c r="U5" i="208"/>
  <c r="U6" i="208"/>
  <c r="U7" i="208"/>
  <c r="U9" i="208"/>
  <c r="U10" i="208"/>
  <c r="U11" i="208"/>
  <c r="U12" i="208"/>
  <c r="U13" i="208"/>
  <c r="U14" i="208"/>
  <c r="U15" i="208"/>
  <c r="U16" i="208"/>
  <c r="U17" i="208"/>
  <c r="U18" i="208"/>
  <c r="U19" i="208"/>
  <c r="U20" i="208"/>
  <c r="U21" i="208"/>
  <c r="U24" i="208"/>
  <c r="U25" i="208"/>
  <c r="U26" i="208"/>
  <c r="U27" i="208"/>
  <c r="U28" i="208"/>
  <c r="U30" i="208"/>
  <c r="U31" i="208"/>
  <c r="U32" i="208"/>
  <c r="U33" i="208"/>
  <c r="U35" i="208"/>
  <c r="U36" i="208"/>
  <c r="U37" i="208"/>
  <c r="U38" i="208"/>
  <c r="U39" i="208"/>
  <c r="U40" i="208"/>
  <c r="U41" i="208"/>
  <c r="U42" i="208"/>
  <c r="U44" i="208"/>
  <c r="U45" i="208"/>
  <c r="U4" i="208"/>
  <c r="T46" i="208"/>
  <c r="J62" i="214" s="1"/>
  <c r="T43" i="208"/>
  <c r="I62" i="214" s="1"/>
  <c r="T34" i="208"/>
  <c r="H62" i="214" s="1"/>
  <c r="T29" i="208"/>
  <c r="G62" i="214" s="1"/>
  <c r="T8" i="208"/>
  <c r="I5" i="198"/>
  <c r="I6" i="198"/>
  <c r="I8" i="198"/>
  <c r="I9" i="198"/>
  <c r="I10" i="198"/>
  <c r="I11" i="198"/>
  <c r="I12" i="198"/>
  <c r="I14" i="198"/>
  <c r="I15" i="198"/>
  <c r="I16" i="198"/>
  <c r="I20" i="198"/>
  <c r="I21" i="198"/>
  <c r="I23" i="198"/>
  <c r="I24" i="198"/>
  <c r="I25" i="198"/>
  <c r="I26" i="198"/>
  <c r="I27" i="198"/>
  <c r="I28" i="198"/>
  <c r="I29" i="198"/>
  <c r="I30" i="198"/>
  <c r="I32" i="198"/>
  <c r="I33" i="198"/>
  <c r="I34" i="198"/>
  <c r="I35" i="198"/>
  <c r="I37" i="198"/>
  <c r="I38" i="198"/>
  <c r="I39" i="198"/>
  <c r="I40" i="198"/>
  <c r="I4" i="198"/>
  <c r="H36" i="198"/>
  <c r="H61" i="214" s="1"/>
  <c r="H31" i="198"/>
  <c r="G61" i="214" s="1"/>
  <c r="H7" i="198"/>
  <c r="D61" i="214" s="1"/>
  <c r="I5" i="182"/>
  <c r="I6" i="182"/>
  <c r="I7" i="182"/>
  <c r="I9" i="182"/>
  <c r="I10" i="182"/>
  <c r="I11" i="182"/>
  <c r="I12" i="182"/>
  <c r="I13" i="182"/>
  <c r="I14" i="182"/>
  <c r="I15" i="182"/>
  <c r="I16" i="182"/>
  <c r="I17" i="182"/>
  <c r="I18" i="182"/>
  <c r="I20" i="182"/>
  <c r="I21" i="182"/>
  <c r="I22" i="182"/>
  <c r="I23" i="182"/>
  <c r="I24" i="182"/>
  <c r="I25" i="182"/>
  <c r="I26" i="182"/>
  <c r="I28" i="182"/>
  <c r="I30" i="182"/>
  <c r="I31" i="182"/>
  <c r="I32" i="182"/>
  <c r="I33" i="182"/>
  <c r="I35" i="182"/>
  <c r="I37" i="182"/>
  <c r="I38" i="182"/>
  <c r="I42" i="182"/>
  <c r="I43" i="182"/>
  <c r="I44" i="182"/>
  <c r="I45" i="182"/>
  <c r="I46" i="182"/>
  <c r="I47" i="182"/>
  <c r="I49" i="182"/>
  <c r="I50" i="182"/>
  <c r="I4" i="182"/>
  <c r="H51" i="182"/>
  <c r="H48" i="182"/>
  <c r="I60" i="214" s="1"/>
  <c r="H8" i="182"/>
  <c r="S7" i="184"/>
  <c r="S8" i="184"/>
  <c r="S10" i="184"/>
  <c r="S11" i="184"/>
  <c r="S13" i="184"/>
  <c r="S14" i="184"/>
  <c r="S15" i="184"/>
  <c r="S16" i="184"/>
  <c r="S19" i="184"/>
  <c r="S20" i="184"/>
  <c r="S21" i="184"/>
  <c r="S22" i="184"/>
  <c r="S24" i="184"/>
  <c r="S25" i="184"/>
  <c r="S26" i="184"/>
  <c r="S27" i="184"/>
  <c r="S28" i="184"/>
  <c r="S30" i="184"/>
  <c r="S31" i="184"/>
  <c r="S32" i="184"/>
  <c r="S33" i="184"/>
  <c r="S37" i="184"/>
  <c r="S38" i="184"/>
  <c r="S39" i="184"/>
  <c r="S42" i="184"/>
  <c r="S43" i="184"/>
  <c r="S44" i="184"/>
  <c r="S45" i="184"/>
  <c r="S46" i="184"/>
  <c r="S47" i="184"/>
  <c r="S48" i="184"/>
  <c r="S50" i="184"/>
  <c r="S51" i="184"/>
  <c r="S53" i="184"/>
  <c r="S54" i="184"/>
  <c r="S55" i="184"/>
  <c r="S56" i="184"/>
  <c r="S5" i="184"/>
  <c r="R57" i="184"/>
  <c r="R52" i="184"/>
  <c r="J59" i="214" s="1"/>
  <c r="R49" i="184"/>
  <c r="I59" i="214" s="1"/>
  <c r="Q6" i="126"/>
  <c r="Q7" i="126"/>
  <c r="Q8" i="126"/>
  <c r="Q10" i="126"/>
  <c r="Q11" i="126"/>
  <c r="Q12" i="126"/>
  <c r="Q13" i="126"/>
  <c r="Q14" i="126"/>
  <c r="Q16" i="126"/>
  <c r="Q17" i="126"/>
  <c r="Q18" i="126"/>
  <c r="Q19" i="126"/>
  <c r="Q20" i="126"/>
  <c r="Q21" i="126"/>
  <c r="Q22" i="126"/>
  <c r="Q24" i="126"/>
  <c r="Q25" i="126"/>
  <c r="Q26" i="126"/>
  <c r="Q27" i="126"/>
  <c r="Q28" i="126"/>
  <c r="Q30" i="126"/>
  <c r="Q31" i="126"/>
  <c r="Q32" i="126"/>
  <c r="Q33" i="126"/>
  <c r="Q35" i="126"/>
  <c r="Q36" i="126"/>
  <c r="Q37" i="126"/>
  <c r="Q38" i="126"/>
  <c r="Q39" i="126"/>
  <c r="Q40" i="126"/>
  <c r="Q42" i="126"/>
  <c r="Q43" i="126"/>
  <c r="Q5" i="126"/>
  <c r="P44" i="126"/>
  <c r="J58" i="214" s="1"/>
  <c r="P41" i="126"/>
  <c r="P34" i="126"/>
  <c r="H58" i="214" s="1"/>
  <c r="P29" i="126"/>
  <c r="G58" i="214" s="1"/>
  <c r="P9" i="126"/>
  <c r="D58" i="214" s="1"/>
  <c r="J6" i="125"/>
  <c r="J7" i="125"/>
  <c r="J8" i="125"/>
  <c r="J10" i="125"/>
  <c r="J11" i="125"/>
  <c r="J12" i="125"/>
  <c r="J13" i="125"/>
  <c r="J14" i="125"/>
  <c r="J15" i="125"/>
  <c r="J17" i="125"/>
  <c r="J18" i="125"/>
  <c r="J19" i="125"/>
  <c r="J20" i="125"/>
  <c r="J21" i="125"/>
  <c r="J22" i="125"/>
  <c r="J23" i="125"/>
  <c r="J24" i="125"/>
  <c r="J26" i="125"/>
  <c r="J27" i="125"/>
  <c r="J28" i="125"/>
  <c r="J29" i="125"/>
  <c r="J30" i="125"/>
  <c r="J31" i="125"/>
  <c r="J33" i="125"/>
  <c r="J34" i="125"/>
  <c r="J35" i="125"/>
  <c r="J37" i="125"/>
  <c r="J38" i="125"/>
  <c r="J39" i="125"/>
  <c r="J40" i="125"/>
  <c r="J41" i="125"/>
  <c r="J42" i="125"/>
  <c r="J43" i="125"/>
  <c r="J45" i="125"/>
  <c r="J46" i="125"/>
  <c r="J48" i="125"/>
  <c r="J49" i="125"/>
  <c r="J5" i="125"/>
  <c r="I50" i="125"/>
  <c r="I47" i="125"/>
  <c r="I44" i="125"/>
  <c r="I57" i="214" s="1"/>
  <c r="I36" i="125"/>
  <c r="H57" i="214" s="1"/>
  <c r="I32" i="125"/>
  <c r="G57" i="214" s="1"/>
  <c r="I16" i="125"/>
  <c r="I25" i="125" s="1"/>
  <c r="F57" i="214" s="1"/>
  <c r="I9" i="125"/>
  <c r="D57" i="214" s="1"/>
  <c r="T4" i="75"/>
  <c r="T5" i="75"/>
  <c r="T8" i="75"/>
  <c r="T9" i="75"/>
  <c r="T10" i="75"/>
  <c r="T11" i="75"/>
  <c r="T12" i="75"/>
  <c r="T13" i="75"/>
  <c r="T14" i="75"/>
  <c r="T15" i="75"/>
  <c r="T16" i="75"/>
  <c r="T18" i="75"/>
  <c r="T19" i="75"/>
  <c r="T20" i="75"/>
  <c r="T21" i="75"/>
  <c r="T24" i="75"/>
  <c r="T25" i="75"/>
  <c r="T26" i="75"/>
  <c r="T28" i="75"/>
  <c r="T29" i="75"/>
  <c r="T30" i="75"/>
  <c r="T31" i="75"/>
  <c r="T32" i="75"/>
  <c r="T33" i="75"/>
  <c r="T3" i="75"/>
  <c r="S34" i="75"/>
  <c r="I56" i="214" s="1"/>
  <c r="S27" i="75"/>
  <c r="H56" i="214" s="1"/>
  <c r="S22" i="75"/>
  <c r="S23" i="75" s="1"/>
  <c r="G56" i="214" s="1"/>
  <c r="S17" i="75"/>
  <c r="F56" i="214" s="1"/>
  <c r="S6" i="23"/>
  <c r="S7" i="23"/>
  <c r="S9" i="23"/>
  <c r="S10" i="23"/>
  <c r="S11" i="23"/>
  <c r="S13" i="23"/>
  <c r="S14" i="23"/>
  <c r="S16" i="23"/>
  <c r="S17" i="23"/>
  <c r="S18" i="23"/>
  <c r="S19" i="23"/>
  <c r="S21" i="23"/>
  <c r="S22" i="23"/>
  <c r="S23" i="23"/>
  <c r="S25" i="23"/>
  <c r="S27" i="23"/>
  <c r="S28" i="23"/>
  <c r="S29" i="23"/>
  <c r="S32" i="23"/>
  <c r="S33" i="23"/>
  <c r="S34" i="23"/>
  <c r="S35" i="23"/>
  <c r="S36" i="23"/>
  <c r="S37" i="23"/>
  <c r="S39" i="23"/>
  <c r="S40" i="23"/>
  <c r="S5" i="23"/>
  <c r="R41" i="23"/>
  <c r="J55" i="214" s="1"/>
  <c r="R38" i="23"/>
  <c r="I55" i="214" s="1"/>
  <c r="R30" i="23"/>
  <c r="R15" i="23"/>
  <c r="R8" i="23"/>
  <c r="D55" i="214" s="1"/>
  <c r="T6" i="63"/>
  <c r="T7" i="63"/>
  <c r="T9" i="63"/>
  <c r="T10" i="63"/>
  <c r="T11" i="63"/>
  <c r="T12" i="63"/>
  <c r="T13" i="63"/>
  <c r="T14" i="63"/>
  <c r="T15" i="63"/>
  <c r="T16" i="63"/>
  <c r="T18" i="63"/>
  <c r="T20" i="63"/>
  <c r="T21" i="63"/>
  <c r="T22" i="63"/>
  <c r="T23" i="63"/>
  <c r="T24" i="63"/>
  <c r="T26" i="63"/>
  <c r="T27" i="63"/>
  <c r="T28" i="63"/>
  <c r="T29" i="63"/>
  <c r="T32" i="63"/>
  <c r="T33" i="63"/>
  <c r="T36" i="63"/>
  <c r="T37" i="63"/>
  <c r="T38" i="63"/>
  <c r="T39" i="63"/>
  <c r="T40" i="63"/>
  <c r="T5" i="63"/>
  <c r="S41" i="63"/>
  <c r="I54" i="214" s="1"/>
  <c r="S34" i="63"/>
  <c r="S35" i="63" s="1"/>
  <c r="H54" i="214" s="1"/>
  <c r="S30" i="63"/>
  <c r="S19" i="63"/>
  <c r="S8" i="63"/>
  <c r="S6" i="177"/>
  <c r="S7" i="177"/>
  <c r="S8" i="177"/>
  <c r="S10" i="177"/>
  <c r="S11" i="177"/>
  <c r="S12" i="177"/>
  <c r="S13" i="177"/>
  <c r="S14" i="177"/>
  <c r="S15" i="177"/>
  <c r="S16" i="177"/>
  <c r="S18" i="177"/>
  <c r="S19" i="177"/>
  <c r="S20" i="177"/>
  <c r="S21" i="177"/>
  <c r="S22" i="177"/>
  <c r="S23" i="177"/>
  <c r="S25" i="177"/>
  <c r="S26" i="177"/>
  <c r="S27" i="177"/>
  <c r="S28" i="177"/>
  <c r="S29" i="177"/>
  <c r="S31" i="177"/>
  <c r="S32" i="177"/>
  <c r="S33" i="177"/>
  <c r="S35" i="177"/>
  <c r="S36" i="177"/>
  <c r="S37" i="177"/>
  <c r="S38" i="177"/>
  <c r="S39" i="177"/>
  <c r="S40" i="177"/>
  <c r="S41" i="177"/>
  <c r="S43" i="177"/>
  <c r="S44" i="177"/>
  <c r="S5" i="177"/>
  <c r="R45" i="177"/>
  <c r="J53" i="214" s="1"/>
  <c r="R42" i="177"/>
  <c r="I53" i="214" s="1"/>
  <c r="R34" i="177"/>
  <c r="H53" i="214" s="1"/>
  <c r="R30" i="177"/>
  <c r="G53" i="214" s="1"/>
  <c r="R17" i="177"/>
  <c r="R24" i="177" s="1"/>
  <c r="F53" i="214" s="1"/>
  <c r="R9" i="177"/>
  <c r="R49" i="177" s="1"/>
  <c r="Q6" i="174"/>
  <c r="Q7" i="174"/>
  <c r="Q8" i="174"/>
  <c r="Q10" i="174"/>
  <c r="Q11" i="174"/>
  <c r="Q12" i="174"/>
  <c r="Q14" i="174"/>
  <c r="Q15" i="174"/>
  <c r="Q16" i="174"/>
  <c r="Q18" i="174"/>
  <c r="Q19" i="174"/>
  <c r="Q20" i="174"/>
  <c r="Q21" i="174"/>
  <c r="Q22" i="174"/>
  <c r="Q24" i="174"/>
  <c r="Q25" i="174"/>
  <c r="Q26" i="174"/>
  <c r="Q28" i="174"/>
  <c r="Q30" i="174"/>
  <c r="Q31" i="174"/>
  <c r="Q35" i="174"/>
  <c r="Q36" i="174"/>
  <c r="Q37" i="174"/>
  <c r="Q38" i="174"/>
  <c r="Q39" i="174"/>
  <c r="Q40" i="174"/>
  <c r="Q42" i="174"/>
  <c r="Q43" i="174"/>
  <c r="Q45" i="174"/>
  <c r="Q46" i="174"/>
  <c r="Q5" i="174"/>
  <c r="P47" i="174"/>
  <c r="L52" i="214" s="1"/>
  <c r="P44" i="174"/>
  <c r="P41" i="174"/>
  <c r="I52" i="214" s="1"/>
  <c r="P33" i="174"/>
  <c r="P32" i="174"/>
  <c r="P27" i="174"/>
  <c r="P29" i="174" s="1"/>
  <c r="G52" i="214" s="1"/>
  <c r="P17" i="174"/>
  <c r="P9" i="174"/>
  <c r="S6" i="172"/>
  <c r="S7" i="172"/>
  <c r="S8" i="172"/>
  <c r="S10" i="172"/>
  <c r="S11" i="172"/>
  <c r="S12" i="172"/>
  <c r="S13" i="172"/>
  <c r="S14" i="172"/>
  <c r="S15" i="172"/>
  <c r="S16" i="172"/>
  <c r="S17" i="172"/>
  <c r="S18" i="172"/>
  <c r="S19" i="172"/>
  <c r="S20" i="172"/>
  <c r="S21" i="172"/>
  <c r="S22" i="172"/>
  <c r="S23" i="172"/>
  <c r="S24" i="172"/>
  <c r="S25" i="172"/>
  <c r="S27" i="172"/>
  <c r="S28" i="172"/>
  <c r="S29" i="172"/>
  <c r="S30" i="172"/>
  <c r="S31" i="172"/>
  <c r="S33" i="172"/>
  <c r="S34" i="172"/>
  <c r="S35" i="172"/>
  <c r="S36" i="172"/>
  <c r="S38" i="172"/>
  <c r="S39" i="172"/>
  <c r="S40" i="172"/>
  <c r="S41" i="172"/>
  <c r="S42" i="172"/>
  <c r="S43" i="172"/>
  <c r="S45" i="172"/>
  <c r="S46" i="172"/>
  <c r="S48" i="172"/>
  <c r="S49" i="172"/>
  <c r="S5" i="172"/>
  <c r="R50" i="172"/>
  <c r="O51" i="214" s="1"/>
  <c r="R47" i="172"/>
  <c r="R44" i="172"/>
  <c r="I51" i="214" s="1"/>
  <c r="R37" i="172"/>
  <c r="H51" i="214" s="1"/>
  <c r="R32" i="172"/>
  <c r="G51" i="214" s="1"/>
  <c r="R26" i="172"/>
  <c r="F51" i="214" s="1"/>
  <c r="R9" i="172"/>
  <c r="D51" i="214" s="1"/>
  <c r="S6" i="53"/>
  <c r="S7" i="53"/>
  <c r="S8" i="53"/>
  <c r="S9" i="53"/>
  <c r="S10" i="53"/>
  <c r="S12" i="53"/>
  <c r="S13" i="53"/>
  <c r="S14" i="53"/>
  <c r="S15" i="53"/>
  <c r="S16" i="53"/>
  <c r="S17" i="53"/>
  <c r="S18" i="53"/>
  <c r="S19" i="53"/>
  <c r="S23" i="53"/>
  <c r="S25" i="53"/>
  <c r="S27" i="53"/>
  <c r="S28" i="53"/>
  <c r="S29" i="53"/>
  <c r="S30" i="53"/>
  <c r="S32" i="53"/>
  <c r="S33" i="53"/>
  <c r="S35" i="53"/>
  <c r="S36" i="53"/>
  <c r="S37" i="53"/>
  <c r="S38" i="53"/>
  <c r="S41" i="53"/>
  <c r="S42" i="53"/>
  <c r="S43" i="53"/>
  <c r="S44" i="53"/>
  <c r="S45" i="53"/>
  <c r="S46" i="53"/>
  <c r="S5" i="53"/>
  <c r="R47" i="53"/>
  <c r="R39" i="53"/>
  <c r="R31" i="53"/>
  <c r="R34" i="53" s="1"/>
  <c r="R22" i="53"/>
  <c r="R21" i="53"/>
  <c r="R11" i="53"/>
  <c r="D50" i="214" s="1"/>
  <c r="S6" i="171"/>
  <c r="S7" i="171"/>
  <c r="S8" i="171"/>
  <c r="S9" i="171"/>
  <c r="S10" i="171"/>
  <c r="S12" i="171"/>
  <c r="S13" i="171"/>
  <c r="S15" i="171"/>
  <c r="S16" i="171"/>
  <c r="S17" i="171"/>
  <c r="S18" i="171"/>
  <c r="S21" i="171"/>
  <c r="S22" i="171"/>
  <c r="S23" i="171"/>
  <c r="S24" i="171"/>
  <c r="S25" i="171"/>
  <c r="S26" i="171"/>
  <c r="S28" i="171"/>
  <c r="S29" i="171"/>
  <c r="S30" i="171"/>
  <c r="S31" i="171"/>
  <c r="S32" i="171"/>
  <c r="S35" i="171"/>
  <c r="S36" i="171"/>
  <c r="S37" i="171"/>
  <c r="S41" i="171"/>
  <c r="S42" i="171"/>
  <c r="S43" i="171"/>
  <c r="S44" i="171"/>
  <c r="S45" i="171"/>
  <c r="S46" i="171"/>
  <c r="S48" i="171"/>
  <c r="S49" i="171"/>
  <c r="S51" i="171"/>
  <c r="S52" i="171"/>
  <c r="S53" i="171"/>
  <c r="S54" i="171"/>
  <c r="S56" i="171"/>
  <c r="S57" i="171"/>
  <c r="S5" i="171"/>
  <c r="R58" i="171"/>
  <c r="O49" i="214" s="1"/>
  <c r="R55" i="171"/>
  <c r="R50" i="171"/>
  <c r="L49" i="214" s="1"/>
  <c r="R47" i="171"/>
  <c r="I49" i="214" s="1"/>
  <c r="R39" i="171"/>
  <c r="R38" i="171"/>
  <c r="R33" i="171"/>
  <c r="R34" i="171" s="1"/>
  <c r="G49" i="214" s="1"/>
  <c r="R20" i="171"/>
  <c r="R11" i="171"/>
  <c r="D49" i="214" s="1"/>
  <c r="S6" i="180"/>
  <c r="S7" i="180"/>
  <c r="S8" i="180"/>
  <c r="S10" i="180"/>
  <c r="S11" i="180"/>
  <c r="S12" i="180"/>
  <c r="S13" i="180"/>
  <c r="S15" i="180"/>
  <c r="S16" i="180"/>
  <c r="S17" i="180"/>
  <c r="S19" i="180"/>
  <c r="S20" i="180"/>
  <c r="S21" i="180"/>
  <c r="S22" i="180"/>
  <c r="S24" i="180"/>
  <c r="S25" i="180"/>
  <c r="S26" i="180"/>
  <c r="S27" i="180"/>
  <c r="S30" i="180"/>
  <c r="S31" i="180"/>
  <c r="S32" i="180"/>
  <c r="S35" i="180"/>
  <c r="S36" i="180"/>
  <c r="S37" i="180"/>
  <c r="S38" i="180"/>
  <c r="S39" i="180"/>
  <c r="S40" i="180"/>
  <c r="S42" i="180"/>
  <c r="S43" i="180"/>
  <c r="S45" i="180"/>
  <c r="S46" i="180"/>
  <c r="S5" i="180"/>
  <c r="R47" i="180"/>
  <c r="O48" i="214" s="1"/>
  <c r="R44" i="180"/>
  <c r="J48" i="214" s="1"/>
  <c r="R41" i="180"/>
  <c r="I48" i="214" s="1"/>
  <c r="R33" i="180"/>
  <c r="R34" i="180" s="1"/>
  <c r="H48" i="214" s="1"/>
  <c r="R28" i="180"/>
  <c r="R23" i="180"/>
  <c r="F48" i="214" s="1"/>
  <c r="R9" i="180"/>
  <c r="D48" i="214" s="1"/>
  <c r="F5" i="230"/>
  <c r="F6" i="230"/>
  <c r="F7" i="230"/>
  <c r="F9" i="230"/>
  <c r="F10" i="230"/>
  <c r="F11" i="230"/>
  <c r="F12" i="230"/>
  <c r="F13" i="230"/>
  <c r="F14" i="230"/>
  <c r="F15" i="230"/>
  <c r="F16" i="230"/>
  <c r="F17" i="230"/>
  <c r="F18" i="230"/>
  <c r="F19" i="230"/>
  <c r="F20" i="230"/>
  <c r="F21" i="230"/>
  <c r="F22" i="230"/>
  <c r="F23" i="230"/>
  <c r="F24" i="230"/>
  <c r="F26" i="230"/>
  <c r="F27" i="230"/>
  <c r="F28" i="230"/>
  <c r="F29" i="230"/>
  <c r="F30" i="230"/>
  <c r="F32" i="230"/>
  <c r="F33" i="230"/>
  <c r="F34" i="230"/>
  <c r="F35" i="230"/>
  <c r="F37" i="230"/>
  <c r="F38" i="230"/>
  <c r="F39" i="230"/>
  <c r="F40" i="230"/>
  <c r="F4" i="230"/>
  <c r="E41" i="230"/>
  <c r="I47" i="214" s="1"/>
  <c r="E36" i="230"/>
  <c r="H47" i="214" s="1"/>
  <c r="E31" i="230"/>
  <c r="G47" i="214" s="1"/>
  <c r="E25" i="230"/>
  <c r="F47" i="214" s="1"/>
  <c r="E8" i="230"/>
  <c r="D47" i="214" s="1"/>
  <c r="R6" i="46"/>
  <c r="R7" i="46"/>
  <c r="R8" i="46"/>
  <c r="R10" i="46"/>
  <c r="R11" i="46"/>
  <c r="R12" i="46"/>
  <c r="R13" i="46"/>
  <c r="R14" i="46"/>
  <c r="R17" i="46"/>
  <c r="R20" i="46"/>
  <c r="R21" i="46"/>
  <c r="R22" i="46"/>
  <c r="R23" i="46"/>
  <c r="R24" i="46"/>
  <c r="R26" i="46"/>
  <c r="R27" i="46"/>
  <c r="R28" i="46"/>
  <c r="R32" i="46"/>
  <c r="R33" i="46"/>
  <c r="R34" i="46"/>
  <c r="R38" i="46"/>
  <c r="R39" i="46"/>
  <c r="R40" i="46"/>
  <c r="R41" i="46"/>
  <c r="R42" i="46"/>
  <c r="R44" i="46"/>
  <c r="R45" i="46"/>
  <c r="R5" i="46"/>
  <c r="Q46" i="46"/>
  <c r="J46" i="214" s="1"/>
  <c r="Q43" i="46"/>
  <c r="I46" i="214" s="1"/>
  <c r="Q36" i="46"/>
  <c r="Q35" i="46"/>
  <c r="Q30" i="46"/>
  <c r="Q29" i="46"/>
  <c r="Q19" i="46"/>
  <c r="Q16" i="46"/>
  <c r="Q15" i="46"/>
  <c r="Q9" i="46"/>
  <c r="D46" i="214" s="1"/>
  <c r="I6" i="221"/>
  <c r="I7" i="221"/>
  <c r="I8" i="221"/>
  <c r="I10" i="221"/>
  <c r="I11" i="221"/>
  <c r="I12" i="221"/>
  <c r="I13" i="221"/>
  <c r="I14" i="221"/>
  <c r="I15" i="221"/>
  <c r="I16" i="221"/>
  <c r="I17" i="221"/>
  <c r="I18" i="221"/>
  <c r="I19" i="221"/>
  <c r="I20" i="221"/>
  <c r="I21" i="221"/>
  <c r="I22" i="221"/>
  <c r="I24" i="221"/>
  <c r="I25" i="221"/>
  <c r="I26" i="221"/>
  <c r="I27" i="221"/>
  <c r="I28" i="221"/>
  <c r="I30" i="221"/>
  <c r="I31" i="221"/>
  <c r="I32" i="221"/>
  <c r="I33" i="221"/>
  <c r="I34" i="221"/>
  <c r="I36" i="221"/>
  <c r="I37" i="221"/>
  <c r="I38" i="221"/>
  <c r="I39" i="221"/>
  <c r="I40" i="221"/>
  <c r="I41" i="221"/>
  <c r="I5" i="221"/>
  <c r="H42" i="221"/>
  <c r="I45" i="214" s="1"/>
  <c r="H35" i="221"/>
  <c r="H45" i="214" s="1"/>
  <c r="H29" i="221"/>
  <c r="G45" i="214" s="1"/>
  <c r="H23" i="221"/>
  <c r="F45" i="214" s="1"/>
  <c r="H9" i="221"/>
  <c r="D45" i="214" s="1"/>
  <c r="Q6" i="44"/>
  <c r="Q7" i="44"/>
  <c r="Q8" i="44"/>
  <c r="Q10" i="44"/>
  <c r="Q11" i="44"/>
  <c r="Q13" i="44"/>
  <c r="Q14" i="44"/>
  <c r="Q15" i="44"/>
  <c r="Q17" i="44"/>
  <c r="Q20" i="44"/>
  <c r="Q23" i="44"/>
  <c r="Q24" i="44"/>
  <c r="Q27" i="44"/>
  <c r="Q29" i="44"/>
  <c r="Q30" i="44"/>
  <c r="Q31" i="44"/>
  <c r="Q32" i="44"/>
  <c r="Q34" i="44"/>
  <c r="Q35" i="44"/>
  <c r="Q37" i="44"/>
  <c r="Q38" i="44"/>
  <c r="Q40" i="44"/>
  <c r="Q52" i="44"/>
  <c r="Q53" i="44"/>
  <c r="Q54" i="44"/>
  <c r="Q55" i="44"/>
  <c r="Q56" i="44"/>
  <c r="Q58" i="44"/>
  <c r="Q59" i="44"/>
  <c r="Q60" i="44"/>
  <c r="Q61" i="44"/>
  <c r="Q63" i="44"/>
  <c r="Q64" i="44"/>
  <c r="Q5" i="44"/>
  <c r="P65" i="44"/>
  <c r="O44" i="214" s="1"/>
  <c r="P62" i="44"/>
  <c r="J44" i="214" s="1"/>
  <c r="P57" i="44"/>
  <c r="L44" i="214" s="1"/>
  <c r="P39" i="44"/>
  <c r="P33" i="44"/>
  <c r="P36" i="44" s="1"/>
  <c r="G44" i="214" s="1"/>
  <c r="P16" i="44"/>
  <c r="P12" i="44"/>
  <c r="P9" i="44"/>
  <c r="D44" i="214" s="1"/>
  <c r="I6" i="189"/>
  <c r="I7" i="189"/>
  <c r="I8" i="189"/>
  <c r="I10" i="189"/>
  <c r="I11" i="189"/>
  <c r="I12" i="189"/>
  <c r="I13" i="189"/>
  <c r="I14" i="189"/>
  <c r="I15" i="189"/>
  <c r="I16" i="189"/>
  <c r="I17" i="189"/>
  <c r="I18" i="189"/>
  <c r="I19" i="189"/>
  <c r="I20" i="189"/>
  <c r="I21" i="189"/>
  <c r="I22" i="189"/>
  <c r="I24" i="189"/>
  <c r="I25" i="189"/>
  <c r="I26" i="189"/>
  <c r="I27" i="189"/>
  <c r="I28" i="189"/>
  <c r="I30" i="189"/>
  <c r="I31" i="189"/>
  <c r="I32" i="189"/>
  <c r="I33" i="189"/>
  <c r="I35" i="189"/>
  <c r="I36" i="189"/>
  <c r="I37" i="189"/>
  <c r="I38" i="189"/>
  <c r="I39" i="189"/>
  <c r="I40" i="189"/>
  <c r="I5" i="189"/>
  <c r="H41" i="189"/>
  <c r="I43" i="214" s="1"/>
  <c r="H34" i="189"/>
  <c r="H43" i="214" s="1"/>
  <c r="H29" i="189"/>
  <c r="G43" i="214" s="1"/>
  <c r="H23" i="189"/>
  <c r="F43" i="214" s="1"/>
  <c r="H9" i="189"/>
  <c r="D43" i="214" s="1"/>
  <c r="I6" i="200"/>
  <c r="I7" i="200"/>
  <c r="I8" i="200"/>
  <c r="I10" i="200"/>
  <c r="I11" i="200"/>
  <c r="I12" i="200"/>
  <c r="I13" i="200"/>
  <c r="I14" i="200"/>
  <c r="I15" i="200"/>
  <c r="I16" i="200"/>
  <c r="I20" i="200"/>
  <c r="I21" i="200"/>
  <c r="I22" i="200"/>
  <c r="I24" i="200"/>
  <c r="I25" i="200"/>
  <c r="I26" i="200"/>
  <c r="I27" i="200"/>
  <c r="I28" i="200"/>
  <c r="I30" i="200"/>
  <c r="I32" i="200"/>
  <c r="I33" i="200"/>
  <c r="I35" i="200"/>
  <c r="I36" i="200"/>
  <c r="I37" i="200"/>
  <c r="I38" i="200"/>
  <c r="I39" i="200"/>
  <c r="I40" i="200"/>
  <c r="I42" i="200"/>
  <c r="I43" i="200"/>
  <c r="I44" i="200"/>
  <c r="I46" i="200"/>
  <c r="I47" i="200"/>
  <c r="I5" i="200"/>
  <c r="H48" i="200"/>
  <c r="H45" i="200"/>
  <c r="H41" i="200"/>
  <c r="I42" i="214" s="1"/>
  <c r="H29" i="200"/>
  <c r="G42" i="214" s="1"/>
  <c r="F42" i="214"/>
  <c r="H9" i="200"/>
  <c r="D42" i="214" s="1"/>
  <c r="R6" i="178"/>
  <c r="R7" i="178"/>
  <c r="R8" i="178"/>
  <c r="R10" i="178"/>
  <c r="R11" i="178"/>
  <c r="R12" i="178"/>
  <c r="R13" i="178"/>
  <c r="R14" i="178"/>
  <c r="R16" i="178"/>
  <c r="R17" i="178"/>
  <c r="R18" i="178"/>
  <c r="R19" i="178"/>
  <c r="R20" i="178"/>
  <c r="R21" i="178"/>
  <c r="R24" i="178"/>
  <c r="R25" i="178"/>
  <c r="R26" i="178"/>
  <c r="R27" i="178"/>
  <c r="R29" i="178"/>
  <c r="R30" i="178"/>
  <c r="R31" i="178"/>
  <c r="R33" i="178"/>
  <c r="R34" i="178"/>
  <c r="R35" i="178"/>
  <c r="R37" i="178"/>
  <c r="R38" i="178"/>
  <c r="R39" i="178"/>
  <c r="R40" i="178"/>
  <c r="R41" i="178"/>
  <c r="R43" i="178"/>
  <c r="R44" i="178"/>
  <c r="R46" i="178"/>
  <c r="R47" i="178"/>
  <c r="R49" i="178"/>
  <c r="R50" i="178"/>
  <c r="R51" i="178"/>
  <c r="R52" i="178"/>
  <c r="R56" i="178"/>
  <c r="R57" i="178"/>
  <c r="R58" i="178"/>
  <c r="R5" i="178"/>
  <c r="Q62" i="178"/>
  <c r="L41" i="214" s="1"/>
  <c r="Q48" i="178"/>
  <c r="I41" i="214" s="1"/>
  <c r="Q42" i="178"/>
  <c r="H41" i="214" s="1"/>
  <c r="Q9" i="178"/>
  <c r="D41" i="214" s="1"/>
  <c r="T7" i="170"/>
  <c r="T8" i="170"/>
  <c r="T9" i="170"/>
  <c r="T11" i="170"/>
  <c r="T12" i="170"/>
  <c r="T13" i="170"/>
  <c r="T14" i="170"/>
  <c r="T15" i="170"/>
  <c r="T16" i="170"/>
  <c r="T17" i="170"/>
  <c r="T18" i="170"/>
  <c r="T19" i="170"/>
  <c r="T20" i="170"/>
  <c r="T21" i="170"/>
  <c r="T22" i="170"/>
  <c r="T24" i="170"/>
  <c r="T25" i="170"/>
  <c r="T27" i="170"/>
  <c r="T28" i="170"/>
  <c r="T29" i="170"/>
  <c r="T30" i="170"/>
  <c r="T32" i="170"/>
  <c r="T34" i="170"/>
  <c r="T35" i="170"/>
  <c r="T36" i="170"/>
  <c r="T37" i="170"/>
  <c r="T39" i="170"/>
  <c r="T40" i="170"/>
  <c r="T41" i="170"/>
  <c r="T42" i="170"/>
  <c r="T43" i="170"/>
  <c r="T5" i="170"/>
  <c r="S38" i="170"/>
  <c r="H40" i="214" s="1"/>
  <c r="S31" i="170"/>
  <c r="S33" i="170" s="1"/>
  <c r="G40" i="214" s="1"/>
  <c r="S26" i="170"/>
  <c r="F40" i="214" s="1"/>
  <c r="S10" i="170"/>
  <c r="T5" i="41"/>
  <c r="T6" i="41"/>
  <c r="T7" i="41"/>
  <c r="T9" i="41"/>
  <c r="T10" i="41"/>
  <c r="T11" i="41"/>
  <c r="T12" i="41"/>
  <c r="T13" i="41"/>
  <c r="T14" i="41"/>
  <c r="T16" i="41"/>
  <c r="T17" i="41"/>
  <c r="T18" i="41"/>
  <c r="T20" i="41"/>
  <c r="T21" i="41"/>
  <c r="T22" i="41"/>
  <c r="T24" i="41"/>
  <c r="T25" i="41"/>
  <c r="T27" i="41"/>
  <c r="T28" i="41"/>
  <c r="T29" i="41"/>
  <c r="T30" i="41"/>
  <c r="T32" i="41"/>
  <c r="T34" i="41"/>
  <c r="T35" i="41"/>
  <c r="T36" i="41"/>
  <c r="T37" i="41"/>
  <c r="T38" i="41"/>
  <c r="T40" i="41"/>
  <c r="T41" i="41"/>
  <c r="T42" i="41"/>
  <c r="T43" i="41"/>
  <c r="T44" i="41"/>
  <c r="T45" i="41"/>
  <c r="T46" i="41"/>
  <c r="T48" i="41"/>
  <c r="T49" i="41"/>
  <c r="T4" i="41"/>
  <c r="S53" i="41"/>
  <c r="S50" i="41"/>
  <c r="J39" i="214" s="1"/>
  <c r="S47" i="41"/>
  <c r="I39" i="214" s="1"/>
  <c r="S39" i="41"/>
  <c r="H39" i="214" s="1"/>
  <c r="S8" i="41"/>
  <c r="D39" i="214" s="1"/>
  <c r="Q39" i="214" s="1"/>
  <c r="T5" i="40"/>
  <c r="T6" i="40"/>
  <c r="T7" i="40"/>
  <c r="T9" i="40"/>
  <c r="T10" i="40"/>
  <c r="T11" i="40"/>
  <c r="T12" i="40"/>
  <c r="T13" i="40"/>
  <c r="T14" i="40"/>
  <c r="T15" i="40"/>
  <c r="T16" i="40"/>
  <c r="T17" i="40"/>
  <c r="T18" i="40"/>
  <c r="T20" i="40"/>
  <c r="T21" i="40"/>
  <c r="T22" i="40"/>
  <c r="T23" i="40"/>
  <c r="T24" i="40"/>
  <c r="T25" i="40"/>
  <c r="T26" i="40"/>
  <c r="T28" i="40"/>
  <c r="T29" i="40"/>
  <c r="T30" i="40"/>
  <c r="T31" i="40"/>
  <c r="T32" i="40"/>
  <c r="T33" i="40"/>
  <c r="T35" i="40"/>
  <c r="T36" i="40"/>
  <c r="T37" i="40"/>
  <c r="T38" i="40"/>
  <c r="T40" i="40"/>
  <c r="T41" i="40"/>
  <c r="T42" i="40"/>
  <c r="T43" i="40"/>
  <c r="T45" i="40"/>
  <c r="T47" i="40"/>
  <c r="T48" i="40"/>
  <c r="T49" i="40"/>
  <c r="T4" i="40"/>
  <c r="S50" i="40"/>
  <c r="J38" i="214" s="1"/>
  <c r="S39" i="40"/>
  <c r="H38" i="214" s="1"/>
  <c r="S34" i="40"/>
  <c r="G38" i="214" s="1"/>
  <c r="S8" i="40"/>
  <c r="D38" i="214" s="1"/>
  <c r="T6" i="169"/>
  <c r="T7" i="169"/>
  <c r="T8" i="169"/>
  <c r="T10" i="169"/>
  <c r="T11" i="169"/>
  <c r="T12" i="169"/>
  <c r="T13" i="169"/>
  <c r="T14" i="169"/>
  <c r="T15" i="169"/>
  <c r="T16" i="169"/>
  <c r="T18" i="169"/>
  <c r="T19" i="169"/>
  <c r="T20" i="169"/>
  <c r="T21" i="169"/>
  <c r="T23" i="169"/>
  <c r="T24" i="169"/>
  <c r="T25" i="169"/>
  <c r="T26" i="169"/>
  <c r="T28" i="169"/>
  <c r="T29" i="169"/>
  <c r="T30" i="169"/>
  <c r="T31" i="169"/>
  <c r="T33" i="169"/>
  <c r="T34" i="169"/>
  <c r="T35" i="169"/>
  <c r="T36" i="169"/>
  <c r="T37" i="169"/>
  <c r="T38" i="169"/>
  <c r="T39" i="169"/>
  <c r="T41" i="169"/>
  <c r="T42" i="169"/>
  <c r="T47" i="169"/>
  <c r="T48" i="169"/>
  <c r="T5" i="169"/>
  <c r="S49" i="169"/>
  <c r="O37" i="214" s="1"/>
  <c r="S43" i="169"/>
  <c r="S40" i="169"/>
  <c r="I37" i="214" s="1"/>
  <c r="S32" i="169"/>
  <c r="S27" i="169"/>
  <c r="G37" i="214" s="1"/>
  <c r="S17" i="169"/>
  <c r="S22" i="169" s="1"/>
  <c r="F37" i="214" s="1"/>
  <c r="S9" i="169"/>
  <c r="D37" i="214" s="1"/>
  <c r="U6" i="38"/>
  <c r="U7" i="38"/>
  <c r="U8" i="38"/>
  <c r="U10" i="38"/>
  <c r="U11" i="38"/>
  <c r="U12" i="38"/>
  <c r="U13" i="38"/>
  <c r="U14" i="38"/>
  <c r="U16" i="38"/>
  <c r="U17" i="38"/>
  <c r="U19" i="38"/>
  <c r="U21" i="38"/>
  <c r="U22" i="38"/>
  <c r="U23" i="38"/>
  <c r="U24" i="38"/>
  <c r="U25" i="38"/>
  <c r="U26" i="38"/>
  <c r="U27" i="38"/>
  <c r="U28" i="38"/>
  <c r="U30" i="38"/>
  <c r="U31" i="38"/>
  <c r="U32" i="38"/>
  <c r="U33" i="38"/>
  <c r="U36" i="38"/>
  <c r="U37" i="38"/>
  <c r="U38" i="38"/>
  <c r="U41" i="38"/>
  <c r="U42" i="38"/>
  <c r="U43" i="38"/>
  <c r="U44" i="38"/>
  <c r="U45" i="38"/>
  <c r="U5" i="38"/>
  <c r="T46" i="38"/>
  <c r="I36" i="214" s="1"/>
  <c r="T39" i="38"/>
  <c r="T34" i="38"/>
  <c r="T20" i="38"/>
  <c r="T9" i="38"/>
  <c r="D36" i="214" s="1"/>
  <c r="T5" i="37"/>
  <c r="T6" i="37"/>
  <c r="T7" i="37"/>
  <c r="T9" i="37"/>
  <c r="T10" i="37"/>
  <c r="T11" i="37"/>
  <c r="T12" i="37"/>
  <c r="T13" i="37"/>
  <c r="T14" i="37"/>
  <c r="T15" i="37"/>
  <c r="T17" i="37"/>
  <c r="T18" i="37"/>
  <c r="T19" i="37"/>
  <c r="T20" i="37"/>
  <c r="T21" i="37"/>
  <c r="T22" i="37"/>
  <c r="T23" i="37"/>
  <c r="T25" i="37"/>
  <c r="T26" i="37"/>
  <c r="T28" i="37"/>
  <c r="T29" i="37"/>
  <c r="T31" i="37"/>
  <c r="T32" i="37"/>
  <c r="T33" i="37"/>
  <c r="T35" i="37"/>
  <c r="T36" i="37"/>
  <c r="T37" i="37"/>
  <c r="T38" i="37"/>
  <c r="T40" i="37"/>
  <c r="T41" i="37"/>
  <c r="T4" i="37"/>
  <c r="S42" i="37"/>
  <c r="J35" i="214" s="1"/>
  <c r="S39" i="37"/>
  <c r="I35" i="214" s="1"/>
  <c r="S34" i="37"/>
  <c r="H35" i="214" s="1"/>
  <c r="S24" i="37"/>
  <c r="F35" i="214" s="1"/>
  <c r="S8" i="37"/>
  <c r="D35" i="214" s="1"/>
  <c r="V4" i="210"/>
  <c r="V6" i="210"/>
  <c r="V8" i="210"/>
  <c r="V10" i="210"/>
  <c r="V11" i="210"/>
  <c r="V12" i="210"/>
  <c r="V13" i="210"/>
  <c r="V14" i="210"/>
  <c r="V15" i="210"/>
  <c r="V16" i="210"/>
  <c r="V17" i="210"/>
  <c r="V23" i="210"/>
  <c r="V24" i="210"/>
  <c r="V26" i="210"/>
  <c r="V28" i="210"/>
  <c r="V30" i="210"/>
  <c r="V31" i="210"/>
  <c r="V32" i="210"/>
  <c r="V33" i="210"/>
  <c r="V35" i="210"/>
  <c r="V36" i="210"/>
  <c r="V38" i="210"/>
  <c r="V39" i="210"/>
  <c r="V40" i="210"/>
  <c r="V43" i="210"/>
  <c r="V45" i="210"/>
  <c r="V46" i="210"/>
  <c r="V48" i="210"/>
  <c r="V49" i="210"/>
  <c r="V52" i="210"/>
  <c r="V54" i="210"/>
  <c r="V55" i="210"/>
  <c r="V58" i="210"/>
  <c r="V59" i="210"/>
  <c r="V60" i="210"/>
  <c r="V61" i="210"/>
  <c r="V62" i="210"/>
  <c r="V63" i="210"/>
  <c r="V64" i="210"/>
  <c r="V65" i="210"/>
  <c r="V66" i="210"/>
  <c r="V67" i="210"/>
  <c r="V68" i="210"/>
  <c r="V73" i="210"/>
  <c r="V74" i="210"/>
  <c r="V75" i="210"/>
  <c r="V76" i="210"/>
  <c r="V78" i="210"/>
  <c r="V79" i="210"/>
  <c r="V81" i="210"/>
  <c r="V82" i="210"/>
  <c r="U83" i="210"/>
  <c r="O34" i="214" s="1"/>
  <c r="U80" i="210"/>
  <c r="N34" i="214" s="1"/>
  <c r="N65" i="214" s="1"/>
  <c r="M34" i="214"/>
  <c r="K34" i="214"/>
  <c r="U37" i="210"/>
  <c r="G34" i="214" s="1"/>
  <c r="U29" i="210"/>
  <c r="F34" i="214" s="1"/>
  <c r="E34" i="214"/>
  <c r="E65" i="214" s="1"/>
  <c r="U5" i="210"/>
  <c r="D34" i="214" s="1"/>
  <c r="T6" i="176"/>
  <c r="T7" i="176"/>
  <c r="T8" i="176"/>
  <c r="T10" i="176"/>
  <c r="T11" i="176"/>
  <c r="T12" i="176"/>
  <c r="T14" i="176"/>
  <c r="T15" i="176"/>
  <c r="T16" i="176"/>
  <c r="T17" i="176"/>
  <c r="T18" i="176"/>
  <c r="T19" i="176"/>
  <c r="T20" i="176"/>
  <c r="T21" i="176"/>
  <c r="T22" i="176"/>
  <c r="T24" i="176"/>
  <c r="T25" i="176"/>
  <c r="T26" i="176"/>
  <c r="T27" i="176"/>
  <c r="T29" i="176"/>
  <c r="T30" i="176"/>
  <c r="T31" i="176"/>
  <c r="T32" i="176"/>
  <c r="T33" i="176"/>
  <c r="T34" i="176"/>
  <c r="T35" i="176"/>
  <c r="T37" i="176"/>
  <c r="T40" i="176"/>
  <c r="T41" i="176"/>
  <c r="T42" i="176"/>
  <c r="T43" i="176"/>
  <c r="T45" i="176"/>
  <c r="T46" i="176"/>
  <c r="T47" i="176"/>
  <c r="T48" i="176"/>
  <c r="T49" i="176"/>
  <c r="T50" i="176"/>
  <c r="T51" i="176"/>
  <c r="T52" i="176"/>
  <c r="T53" i="176"/>
  <c r="T55" i="176"/>
  <c r="T56" i="176"/>
  <c r="T57" i="176"/>
  <c r="T58" i="176"/>
  <c r="T60" i="176"/>
  <c r="T61" i="176"/>
  <c r="T63" i="176"/>
  <c r="T64" i="176"/>
  <c r="T68" i="176"/>
  <c r="T5" i="176"/>
  <c r="S69" i="176"/>
  <c r="S59" i="176"/>
  <c r="S54" i="176"/>
  <c r="S13" i="176"/>
  <c r="S9" i="176"/>
  <c r="D33" i="214" s="1"/>
  <c r="T5" i="35"/>
  <c r="T6" i="35"/>
  <c r="T7" i="35"/>
  <c r="T9" i="35"/>
  <c r="T10" i="35"/>
  <c r="T11" i="35"/>
  <c r="T12" i="35"/>
  <c r="T13" i="35"/>
  <c r="T14" i="35"/>
  <c r="T15" i="35"/>
  <c r="T16" i="35"/>
  <c r="T17" i="35"/>
  <c r="T19" i="35"/>
  <c r="T20" i="35"/>
  <c r="T21" i="35"/>
  <c r="T22" i="35"/>
  <c r="T24" i="35"/>
  <c r="T26" i="35"/>
  <c r="T27" i="35"/>
  <c r="T28" i="35"/>
  <c r="T31" i="35"/>
  <c r="T32" i="35"/>
  <c r="T33" i="35"/>
  <c r="T34" i="35"/>
  <c r="T36" i="35"/>
  <c r="T37" i="35"/>
  <c r="T38" i="35"/>
  <c r="T39" i="35"/>
  <c r="T40" i="35"/>
  <c r="T41" i="35"/>
  <c r="T4" i="35"/>
  <c r="S42" i="35"/>
  <c r="I32" i="214" s="1"/>
  <c r="S35" i="35"/>
  <c r="H32" i="214" s="1"/>
  <c r="S29" i="35"/>
  <c r="S30" i="35" s="1"/>
  <c r="G32" i="214" s="1"/>
  <c r="S18" i="35"/>
  <c r="S8" i="35"/>
  <c r="T5" i="168"/>
  <c r="T6" i="168"/>
  <c r="T8" i="168"/>
  <c r="T11" i="168"/>
  <c r="T12" i="168"/>
  <c r="T16" i="168"/>
  <c r="T19" i="168"/>
  <c r="T22" i="168"/>
  <c r="T24" i="168"/>
  <c r="T25" i="168"/>
  <c r="T26" i="168"/>
  <c r="T29" i="168"/>
  <c r="T33" i="168"/>
  <c r="T36" i="168"/>
  <c r="T38" i="168"/>
  <c r="T39" i="168"/>
  <c r="T40" i="168"/>
  <c r="T41" i="168"/>
  <c r="T42" i="168"/>
  <c r="T43" i="168"/>
  <c r="T45" i="168"/>
  <c r="T46" i="168"/>
  <c r="T48" i="168"/>
  <c r="T49" i="168"/>
  <c r="T4" i="168"/>
  <c r="S50" i="168"/>
  <c r="L31" i="214" s="1"/>
  <c r="S47" i="168"/>
  <c r="K31" i="214" s="1"/>
  <c r="S44" i="168"/>
  <c r="I31" i="214" s="1"/>
  <c r="S35" i="168"/>
  <c r="S28" i="168"/>
  <c r="S27" i="168"/>
  <c r="S15" i="168"/>
  <c r="S14" i="168"/>
  <c r="S13" i="168"/>
  <c r="S10" i="168"/>
  <c r="E31" i="214" s="1"/>
  <c r="S7" i="168"/>
  <c r="D31" i="214" s="1"/>
  <c r="T40" i="165"/>
  <c r="T38" i="165"/>
  <c r="T37" i="165"/>
  <c r="T36" i="165"/>
  <c r="T35" i="165"/>
  <c r="T34" i="165"/>
  <c r="T32" i="165"/>
  <c r="T31" i="165"/>
  <c r="T30" i="165"/>
  <c r="T28" i="165"/>
  <c r="T26" i="165"/>
  <c r="T25" i="165"/>
  <c r="T24" i="165"/>
  <c r="T22" i="165"/>
  <c r="T21" i="165"/>
  <c r="T20" i="165"/>
  <c r="T19" i="165"/>
  <c r="T18" i="165"/>
  <c r="T17" i="165"/>
  <c r="T16" i="165"/>
  <c r="T15" i="165"/>
  <c r="T14" i="165"/>
  <c r="T13" i="165"/>
  <c r="T12" i="165"/>
  <c r="T11" i="165"/>
  <c r="T9" i="165"/>
  <c r="T8" i="165"/>
  <c r="T7" i="165"/>
  <c r="T6" i="165"/>
  <c r="T5" i="165"/>
  <c r="T4" i="165"/>
  <c r="S42" i="165"/>
  <c r="S39" i="165"/>
  <c r="I30" i="214" s="1"/>
  <c r="S33" i="165"/>
  <c r="H30" i="214" s="1"/>
  <c r="S29" i="165"/>
  <c r="G30" i="214" s="1"/>
  <c r="S23" i="165"/>
  <c r="S10" i="165"/>
  <c r="T6" i="162"/>
  <c r="T7" i="162"/>
  <c r="T8" i="162"/>
  <c r="T9" i="162"/>
  <c r="T10" i="162"/>
  <c r="T12" i="162"/>
  <c r="T13" i="162"/>
  <c r="T14" i="162"/>
  <c r="T15" i="162"/>
  <c r="T16" i="162"/>
  <c r="T17" i="162"/>
  <c r="T19" i="162"/>
  <c r="T20" i="162"/>
  <c r="T22" i="162"/>
  <c r="T23" i="162"/>
  <c r="T24" i="162"/>
  <c r="T25" i="162"/>
  <c r="T26" i="162"/>
  <c r="T27" i="162"/>
  <c r="T28" i="162"/>
  <c r="T29" i="162"/>
  <c r="T31" i="162"/>
  <c r="T32" i="162"/>
  <c r="T33" i="162"/>
  <c r="T34" i="162"/>
  <c r="T35" i="162"/>
  <c r="T36" i="162"/>
  <c r="T37" i="162"/>
  <c r="T38" i="162"/>
  <c r="T40" i="162"/>
  <c r="T41" i="162"/>
  <c r="T42" i="162"/>
  <c r="T44" i="162"/>
  <c r="T45" i="162"/>
  <c r="T46" i="162"/>
  <c r="T47" i="162"/>
  <c r="T48" i="162"/>
  <c r="T49" i="162"/>
  <c r="T50" i="162"/>
  <c r="T52" i="162"/>
  <c r="T53" i="162"/>
  <c r="T54" i="162"/>
  <c r="T56" i="162"/>
  <c r="T57" i="162"/>
  <c r="T5" i="162"/>
  <c r="S58" i="162"/>
  <c r="L29" i="214" s="1"/>
  <c r="S55" i="162"/>
  <c r="I29" i="214"/>
  <c r="S43" i="162"/>
  <c r="H29" i="214" s="1"/>
  <c r="S39" i="162"/>
  <c r="G29" i="214" s="1"/>
  <c r="S30" i="162"/>
  <c r="F29" i="214" s="1"/>
  <c r="S11" i="162"/>
  <c r="D29" i="214" s="1"/>
  <c r="S5" i="232"/>
  <c r="S6" i="232"/>
  <c r="S7" i="232"/>
  <c r="S9" i="232"/>
  <c r="S10" i="232"/>
  <c r="S11" i="232"/>
  <c r="S12" i="232"/>
  <c r="S13" i="232"/>
  <c r="S14" i="232"/>
  <c r="S15" i="232"/>
  <c r="S16" i="232"/>
  <c r="S17" i="232"/>
  <c r="S18" i="232"/>
  <c r="S19" i="232"/>
  <c r="S20" i="232"/>
  <c r="S21" i="232"/>
  <c r="S22" i="232"/>
  <c r="S24" i="232"/>
  <c r="S25" i="232"/>
  <c r="S26" i="232"/>
  <c r="S27" i="232"/>
  <c r="S28" i="232"/>
  <c r="S30" i="232"/>
  <c r="S31" i="232"/>
  <c r="S32" i="232"/>
  <c r="S34" i="232"/>
  <c r="S35" i="232"/>
  <c r="S36" i="232"/>
  <c r="S37" i="232"/>
  <c r="S38" i="232"/>
  <c r="S39" i="232"/>
  <c r="S40" i="232"/>
  <c r="S4" i="232"/>
  <c r="R33" i="232"/>
  <c r="H28" i="214" s="1"/>
  <c r="R29" i="232"/>
  <c r="G28" i="214" s="1"/>
  <c r="R23" i="232"/>
  <c r="F28" i="214" s="1"/>
  <c r="R8" i="232"/>
  <c r="D28" i="214" s="1"/>
  <c r="S5" i="233"/>
  <c r="S6" i="233"/>
  <c r="S7" i="233"/>
  <c r="S9" i="233"/>
  <c r="S10" i="233"/>
  <c r="S11" i="233"/>
  <c r="S12" i="233"/>
  <c r="S13" i="233"/>
  <c r="S14" i="233"/>
  <c r="S15" i="233"/>
  <c r="S16" i="233"/>
  <c r="S17" i="233"/>
  <c r="S18" i="233"/>
  <c r="S19" i="233"/>
  <c r="S21" i="233"/>
  <c r="S22" i="233"/>
  <c r="S23" i="233"/>
  <c r="S25" i="233"/>
  <c r="S26" i="233"/>
  <c r="S27" i="233"/>
  <c r="S28" i="233"/>
  <c r="S30" i="233"/>
  <c r="S31" i="233"/>
  <c r="S32" i="233"/>
  <c r="S33" i="233"/>
  <c r="S34" i="233"/>
  <c r="S35" i="233"/>
  <c r="S36" i="233"/>
  <c r="S37" i="233"/>
  <c r="S38" i="233"/>
  <c r="S39" i="233"/>
  <c r="S4" i="233"/>
  <c r="R6" i="163"/>
  <c r="R7" i="163"/>
  <c r="R8" i="163"/>
  <c r="R10" i="163"/>
  <c r="R11" i="163"/>
  <c r="R13" i="163"/>
  <c r="R14" i="163"/>
  <c r="R15" i="163"/>
  <c r="R16" i="163"/>
  <c r="R17" i="163"/>
  <c r="R18" i="163"/>
  <c r="R19" i="163"/>
  <c r="R20" i="163"/>
  <c r="R21" i="163"/>
  <c r="R22" i="163"/>
  <c r="R23" i="163"/>
  <c r="R24" i="163"/>
  <c r="R25" i="163"/>
  <c r="R26" i="163"/>
  <c r="R28" i="163"/>
  <c r="R29" i="163"/>
  <c r="R30" i="163"/>
  <c r="R31" i="163"/>
  <c r="R32" i="163"/>
  <c r="R33" i="163"/>
  <c r="R34" i="163"/>
  <c r="R36" i="163"/>
  <c r="R37" i="163"/>
  <c r="R38" i="163"/>
  <c r="R40" i="163"/>
  <c r="R41" i="163"/>
  <c r="R42" i="163"/>
  <c r="R43" i="163"/>
  <c r="R44" i="163"/>
  <c r="R45" i="163"/>
  <c r="R5" i="163"/>
  <c r="Q39" i="163"/>
  <c r="H26" i="214" s="1"/>
  <c r="Q35" i="163"/>
  <c r="G26" i="214" s="1"/>
  <c r="Q27" i="163"/>
  <c r="F26" i="214" s="1"/>
  <c r="Q12" i="163"/>
  <c r="E26" i="214" s="1"/>
  <c r="Q9" i="163"/>
  <c r="D26" i="214" s="1"/>
  <c r="S5" i="51"/>
  <c r="S6" i="51"/>
  <c r="S10" i="51"/>
  <c r="S11" i="51"/>
  <c r="S12" i="51"/>
  <c r="S13" i="51"/>
  <c r="S14" i="51"/>
  <c r="S15" i="51"/>
  <c r="S16" i="51"/>
  <c r="S17" i="51"/>
  <c r="S18" i="51"/>
  <c r="S19" i="51"/>
  <c r="S20" i="51"/>
  <c r="S21" i="51"/>
  <c r="S22" i="51"/>
  <c r="S24" i="51"/>
  <c r="S25" i="51"/>
  <c r="S26" i="51"/>
  <c r="S28" i="51"/>
  <c r="S30" i="51"/>
  <c r="S31" i="51"/>
  <c r="S32" i="51"/>
  <c r="S34" i="51"/>
  <c r="S35" i="51"/>
  <c r="S36" i="51"/>
  <c r="S37" i="51"/>
  <c r="S38" i="51"/>
  <c r="S39" i="51"/>
  <c r="S4" i="51"/>
  <c r="R40" i="51"/>
  <c r="I25" i="214" s="1"/>
  <c r="R33" i="51"/>
  <c r="H25" i="214" s="1"/>
  <c r="R23" i="51"/>
  <c r="F25" i="214" s="1"/>
  <c r="P6" i="92"/>
  <c r="P7" i="92"/>
  <c r="P8" i="92"/>
  <c r="P10" i="92"/>
  <c r="P11" i="92"/>
  <c r="P13" i="92"/>
  <c r="P14" i="92"/>
  <c r="P15" i="92"/>
  <c r="P16" i="92"/>
  <c r="P17" i="92"/>
  <c r="P18" i="92"/>
  <c r="P19" i="92"/>
  <c r="P20" i="92"/>
  <c r="P21" i="92"/>
  <c r="P22" i="92"/>
  <c r="P23" i="92"/>
  <c r="P25" i="92"/>
  <c r="P26" i="92"/>
  <c r="P27" i="92"/>
  <c r="P28" i="92"/>
  <c r="P29" i="92"/>
  <c r="P30" i="92"/>
  <c r="P32" i="92"/>
  <c r="P33" i="92"/>
  <c r="P34" i="92"/>
  <c r="P36" i="92"/>
  <c r="P37" i="92"/>
  <c r="P38" i="92"/>
  <c r="P39" i="92"/>
  <c r="P40" i="92"/>
  <c r="P41" i="92"/>
  <c r="P42" i="92"/>
  <c r="P44" i="92"/>
  <c r="P5" i="92"/>
  <c r="O46" i="92"/>
  <c r="K24" i="214" s="1"/>
  <c r="O43" i="92"/>
  <c r="O35" i="92"/>
  <c r="H24" i="214" s="1"/>
  <c r="O31" i="92"/>
  <c r="G24" i="214" s="1"/>
  <c r="O24" i="92"/>
  <c r="F24" i="214" s="1"/>
  <c r="O12" i="92"/>
  <c r="E24" i="214" s="1"/>
  <c r="O9" i="92"/>
  <c r="D24" i="214" s="1"/>
  <c r="V5" i="31"/>
  <c r="V7" i="31"/>
  <c r="V8" i="31"/>
  <c r="V10" i="31"/>
  <c r="V11" i="31"/>
  <c r="V13" i="31"/>
  <c r="V14" i="31"/>
  <c r="V15" i="31"/>
  <c r="V16" i="31"/>
  <c r="V17" i="31"/>
  <c r="V19" i="31"/>
  <c r="V23" i="31"/>
  <c r="V24" i="31"/>
  <c r="V27" i="31"/>
  <c r="V28" i="31"/>
  <c r="V29" i="31"/>
  <c r="V30" i="31"/>
  <c r="V33" i="31"/>
  <c r="V36" i="31"/>
  <c r="V37" i="31"/>
  <c r="V39" i="31"/>
  <c r="V41" i="31"/>
  <c r="V42" i="31"/>
  <c r="V43" i="31"/>
  <c r="V44" i="31"/>
  <c r="V45" i="31"/>
  <c r="V46" i="31"/>
  <c r="V47" i="31"/>
  <c r="V49" i="31"/>
  <c r="V50" i="31"/>
  <c r="V4" i="31"/>
  <c r="U51" i="31"/>
  <c r="K23" i="214" s="1"/>
  <c r="U48" i="31"/>
  <c r="I23" i="214" s="1"/>
  <c r="U38" i="31"/>
  <c r="U34" i="31"/>
  <c r="U32" i="31"/>
  <c r="U31" i="31"/>
  <c r="U22" i="31"/>
  <c r="U21" i="31"/>
  <c r="U20" i="31"/>
  <c r="U9" i="31"/>
  <c r="E23" i="214" s="1"/>
  <c r="U6" i="31"/>
  <c r="D23" i="214" s="1"/>
  <c r="T6" i="183"/>
  <c r="T7" i="183"/>
  <c r="T8" i="183"/>
  <c r="T10" i="183"/>
  <c r="T11" i="183"/>
  <c r="T12" i="183"/>
  <c r="T13" i="183"/>
  <c r="T16" i="183"/>
  <c r="T17" i="183"/>
  <c r="T18" i="183"/>
  <c r="T19" i="183"/>
  <c r="T20" i="183"/>
  <c r="T21" i="183"/>
  <c r="T22" i="183"/>
  <c r="T23" i="183"/>
  <c r="T24" i="183"/>
  <c r="T26" i="183"/>
  <c r="T27" i="183"/>
  <c r="T28" i="183"/>
  <c r="T30" i="183"/>
  <c r="T32" i="183"/>
  <c r="T37" i="183"/>
  <c r="T38" i="183"/>
  <c r="T39" i="183"/>
  <c r="T40" i="183"/>
  <c r="T41" i="183"/>
  <c r="T42" i="183"/>
  <c r="T44" i="183"/>
  <c r="T45" i="183"/>
  <c r="T47" i="183"/>
  <c r="T48" i="183"/>
  <c r="T5" i="183"/>
  <c r="S46" i="183"/>
  <c r="S43" i="183"/>
  <c r="I22" i="214" s="1"/>
  <c r="S9" i="183"/>
  <c r="D22" i="214" s="1"/>
  <c r="U6" i="114"/>
  <c r="U7" i="114"/>
  <c r="U8" i="114"/>
  <c r="U9" i="114"/>
  <c r="U11" i="114"/>
  <c r="U12" i="114"/>
  <c r="U13" i="114"/>
  <c r="U14" i="114"/>
  <c r="U15" i="114"/>
  <c r="U22" i="114"/>
  <c r="U23" i="114"/>
  <c r="U24" i="114"/>
  <c r="U27" i="114"/>
  <c r="U28" i="114"/>
  <c r="U29" i="114"/>
  <c r="U30" i="114"/>
  <c r="U32" i="114"/>
  <c r="U33" i="114"/>
  <c r="U34" i="114"/>
  <c r="U35" i="114"/>
  <c r="U5" i="114"/>
  <c r="T36" i="114"/>
  <c r="I21" i="214" s="1"/>
  <c r="T31" i="114"/>
  <c r="H21" i="214" s="1"/>
  <c r="T25" i="114"/>
  <c r="T26" i="114" s="1"/>
  <c r="G21" i="214" s="1"/>
  <c r="T21" i="114"/>
  <c r="T10" i="114"/>
  <c r="D21" i="214" s="1"/>
  <c r="U6" i="116"/>
  <c r="U7" i="116"/>
  <c r="U8" i="116"/>
  <c r="U9" i="116"/>
  <c r="U10" i="116"/>
  <c r="U12" i="116"/>
  <c r="U13" i="116"/>
  <c r="U14" i="116"/>
  <c r="U15" i="116"/>
  <c r="U16" i="116"/>
  <c r="U17" i="116"/>
  <c r="U18" i="116"/>
  <c r="U19" i="116"/>
  <c r="U20" i="116"/>
  <c r="U21" i="116"/>
  <c r="U22" i="116"/>
  <c r="U23" i="116"/>
  <c r="U24" i="116"/>
  <c r="U25" i="116"/>
  <c r="U27" i="116"/>
  <c r="U28" i="116"/>
  <c r="U29" i="116"/>
  <c r="U30" i="116"/>
  <c r="U31" i="116"/>
  <c r="U32" i="116"/>
  <c r="U34" i="116"/>
  <c r="U35" i="116"/>
  <c r="U36" i="116"/>
  <c r="U37" i="116"/>
  <c r="U39" i="116"/>
  <c r="U40" i="116"/>
  <c r="U41" i="116"/>
  <c r="U43" i="116"/>
  <c r="U44" i="116"/>
  <c r="U46" i="116"/>
  <c r="U47" i="116"/>
  <c r="U5" i="116"/>
  <c r="T48" i="116"/>
  <c r="T45" i="116"/>
  <c r="T42" i="116"/>
  <c r="I20" i="214" s="1"/>
  <c r="T38" i="116"/>
  <c r="H20" i="214" s="1"/>
  <c r="T33" i="116"/>
  <c r="G20" i="214" s="1"/>
  <c r="T26" i="116"/>
  <c r="F20" i="214" s="1"/>
  <c r="T11" i="116"/>
  <c r="D20" i="214" s="1"/>
  <c r="S4" i="175"/>
  <c r="R49" i="175"/>
  <c r="R46" i="175"/>
  <c r="R33" i="175"/>
  <c r="R26" i="175"/>
  <c r="R25" i="175"/>
  <c r="U4" i="28"/>
  <c r="T58" i="28"/>
  <c r="T55" i="28"/>
  <c r="T52" i="28"/>
  <c r="T39" i="28"/>
  <c r="T34" i="28"/>
  <c r="T32" i="28"/>
  <c r="T22" i="28"/>
  <c r="T18" i="28"/>
  <c r="T17" i="28"/>
  <c r="T16" i="28"/>
  <c r="T13" i="28"/>
  <c r="T7" i="28"/>
  <c r="T4" i="25"/>
  <c r="S47" i="25"/>
  <c r="S44" i="25"/>
  <c r="S37" i="25"/>
  <c r="S33" i="25"/>
  <c r="S27" i="25"/>
  <c r="S14" i="25"/>
  <c r="T5" i="24"/>
  <c r="T6" i="24"/>
  <c r="T7" i="24"/>
  <c r="T8" i="24"/>
  <c r="T9" i="24"/>
  <c r="T11" i="24"/>
  <c r="T12" i="24"/>
  <c r="T13" i="24"/>
  <c r="T14" i="24"/>
  <c r="T15" i="24"/>
  <c r="T16" i="24"/>
  <c r="T18" i="24"/>
  <c r="T19" i="24"/>
  <c r="T20" i="24"/>
  <c r="T21" i="24"/>
  <c r="T23" i="24"/>
  <c r="T24" i="24"/>
  <c r="T25" i="24"/>
  <c r="T26" i="24"/>
  <c r="T27" i="24"/>
  <c r="T28" i="24"/>
  <c r="T29" i="24"/>
  <c r="T31" i="24"/>
  <c r="T33" i="24"/>
  <c r="T34" i="24"/>
  <c r="T37" i="24"/>
  <c r="T38" i="24"/>
  <c r="T39" i="24"/>
  <c r="T40" i="24"/>
  <c r="T42" i="24"/>
  <c r="T43" i="24"/>
  <c r="T44" i="24"/>
  <c r="T45" i="24"/>
  <c r="T49" i="24"/>
  <c r="T50" i="24"/>
  <c r="T4" i="24"/>
  <c r="S51" i="24"/>
  <c r="J16" i="214" s="1"/>
  <c r="S41" i="24"/>
  <c r="H16" i="214" s="1"/>
  <c r="S35" i="24"/>
  <c r="S32" i="24"/>
  <c r="S17" i="24"/>
  <c r="S10" i="24"/>
  <c r="D16" i="214" s="1"/>
  <c r="V5" i="213"/>
  <c r="V6" i="213"/>
  <c r="V7" i="213"/>
  <c r="V9" i="213"/>
  <c r="V10" i="213"/>
  <c r="V11" i="213"/>
  <c r="V12" i="213"/>
  <c r="V13" i="213"/>
  <c r="V14" i="213"/>
  <c r="V15" i="213"/>
  <c r="V16" i="213"/>
  <c r="V17" i="213"/>
  <c r="V18" i="213"/>
  <c r="V20" i="213"/>
  <c r="V21" i="213"/>
  <c r="V22" i="213"/>
  <c r="V23" i="213"/>
  <c r="V24" i="213"/>
  <c r="V26" i="213"/>
  <c r="V27" i="213"/>
  <c r="V28" i="213"/>
  <c r="V30" i="213"/>
  <c r="V31" i="213"/>
  <c r="V32" i="213"/>
  <c r="V33" i="213"/>
  <c r="V34" i="213"/>
  <c r="V35" i="213"/>
  <c r="V36" i="213"/>
  <c r="V4" i="213"/>
  <c r="U37" i="213"/>
  <c r="J15" i="214" s="1"/>
  <c r="U29" i="213"/>
  <c r="H15" i="214" s="1"/>
  <c r="U25" i="213"/>
  <c r="G15" i="214" s="1"/>
  <c r="U19" i="213"/>
  <c r="F15" i="214" s="1"/>
  <c r="U8" i="213"/>
  <c r="D15" i="214" s="1"/>
  <c r="T4" i="212"/>
  <c r="S46" i="212"/>
  <c r="S31" i="212"/>
  <c r="S22" i="212"/>
  <c r="S7" i="212"/>
  <c r="J4" i="185"/>
  <c r="I47" i="185"/>
  <c r="I44" i="185"/>
  <c r="I37" i="185"/>
  <c r="I33" i="185"/>
  <c r="I26" i="185"/>
  <c r="T5" i="100"/>
  <c r="S52" i="100"/>
  <c r="S32" i="100"/>
  <c r="S27" i="100"/>
  <c r="S13" i="100"/>
  <c r="R5" i="59"/>
  <c r="R6" i="59"/>
  <c r="R7" i="59"/>
  <c r="R9" i="59"/>
  <c r="R10" i="59"/>
  <c r="R11" i="59"/>
  <c r="R12" i="59"/>
  <c r="R13" i="59"/>
  <c r="R15" i="59"/>
  <c r="R16" i="59"/>
  <c r="R17" i="59"/>
  <c r="R18" i="59"/>
  <c r="R19" i="59"/>
  <c r="R20" i="59"/>
  <c r="R21" i="59"/>
  <c r="R22" i="59"/>
  <c r="R23" i="59"/>
  <c r="R24" i="59"/>
  <c r="R26" i="59"/>
  <c r="R27" i="59"/>
  <c r="R30" i="59"/>
  <c r="R32" i="59"/>
  <c r="R33" i="59"/>
  <c r="R35" i="59"/>
  <c r="R37" i="59"/>
  <c r="R38" i="59"/>
  <c r="R39" i="59"/>
  <c r="R40" i="59"/>
  <c r="R42" i="59"/>
  <c r="R46" i="59"/>
  <c r="R47" i="59"/>
  <c r="R48" i="59"/>
  <c r="R49" i="59"/>
  <c r="R53" i="59"/>
  <c r="R54" i="59"/>
  <c r="R56" i="59"/>
  <c r="R57" i="59"/>
  <c r="R4" i="59"/>
  <c r="Q58" i="59"/>
  <c r="O11" i="214" s="1"/>
  <c r="Q55" i="59"/>
  <c r="Q36" i="59"/>
  <c r="Q14" i="59"/>
  <c r="E11" i="214" s="1"/>
  <c r="Q8" i="59"/>
  <c r="T6" i="21"/>
  <c r="T7" i="21"/>
  <c r="T8" i="21"/>
  <c r="T9" i="21"/>
  <c r="T10" i="21"/>
  <c r="T12" i="21"/>
  <c r="T13" i="21"/>
  <c r="T14" i="21"/>
  <c r="T15" i="21"/>
  <c r="T16" i="21"/>
  <c r="T18" i="21"/>
  <c r="T19" i="21"/>
  <c r="T20" i="21"/>
  <c r="T21" i="21"/>
  <c r="T23" i="21"/>
  <c r="T24" i="21"/>
  <c r="T25" i="21"/>
  <c r="T26" i="21"/>
  <c r="T28" i="21"/>
  <c r="T29" i="21"/>
  <c r="T30" i="21"/>
  <c r="T31" i="21"/>
  <c r="T33" i="21"/>
  <c r="T35" i="21"/>
  <c r="T36" i="21"/>
  <c r="T38" i="21"/>
  <c r="T45" i="21"/>
  <c r="T46" i="21"/>
  <c r="T5" i="21"/>
  <c r="S47" i="21"/>
  <c r="S37" i="21"/>
  <c r="S39" i="21" s="1"/>
  <c r="H10" i="214" s="1"/>
  <c r="S32" i="21"/>
  <c r="S22" i="21"/>
  <c r="S17" i="21"/>
  <c r="S11" i="21"/>
  <c r="D10" i="214" s="1"/>
  <c r="S5" i="19"/>
  <c r="R50" i="19"/>
  <c r="R47" i="19"/>
  <c r="R44" i="19"/>
  <c r="R37" i="19"/>
  <c r="R32" i="19"/>
  <c r="R21" i="19"/>
  <c r="R14" i="19"/>
  <c r="R9" i="19"/>
  <c r="R54" i="19" s="1"/>
  <c r="S5" i="18"/>
  <c r="R47" i="18"/>
  <c r="R38" i="18"/>
  <c r="R35" i="18"/>
  <c r="R28" i="18"/>
  <c r="R23" i="18"/>
  <c r="R11" i="18"/>
  <c r="S5" i="16"/>
  <c r="R46" i="16"/>
  <c r="R38" i="16"/>
  <c r="R33" i="16"/>
  <c r="R26" i="16"/>
  <c r="R10" i="16"/>
  <c r="S5" i="17"/>
  <c r="R54" i="17"/>
  <c r="R51" i="17"/>
  <c r="R48" i="17"/>
  <c r="R41" i="17"/>
  <c r="R36" i="17"/>
  <c r="R30" i="17"/>
  <c r="R12" i="17"/>
  <c r="T5" i="83"/>
  <c r="S48" i="83"/>
  <c r="S45" i="83"/>
  <c r="S39" i="83"/>
  <c r="S34" i="83"/>
  <c r="S11" i="83"/>
  <c r="P5" i="91"/>
  <c r="O33" i="91"/>
  <c r="O27" i="91"/>
  <c r="O22" i="91"/>
  <c r="O10" i="91"/>
  <c r="Q63" i="214" l="1"/>
  <c r="M65" i="214"/>
  <c r="D60" i="214"/>
  <c r="H55" i="182"/>
  <c r="D32" i="214"/>
  <c r="S46" i="35"/>
  <c r="G6" i="214"/>
  <c r="O6" i="214"/>
  <c r="G7" i="214"/>
  <c r="D8" i="214"/>
  <c r="R40" i="18"/>
  <c r="E9" i="214"/>
  <c r="I9" i="214"/>
  <c r="S36" i="100"/>
  <c r="G13" i="214"/>
  <c r="G17" i="214"/>
  <c r="R34" i="175"/>
  <c r="O50" i="92"/>
  <c r="I24" i="214"/>
  <c r="G5" i="214"/>
  <c r="H7" i="214"/>
  <c r="J9" i="214"/>
  <c r="H13" i="214"/>
  <c r="H17" i="214"/>
  <c r="T40" i="28"/>
  <c r="I19" i="214"/>
  <c r="F21" i="214"/>
  <c r="D54" i="214"/>
  <c r="H5" i="214"/>
  <c r="I6" i="214"/>
  <c r="D7" i="214"/>
  <c r="F8" i="214"/>
  <c r="R34" i="19"/>
  <c r="E12" i="214"/>
  <c r="C7" i="197" s="1"/>
  <c r="I13" i="214"/>
  <c r="F14" i="214"/>
  <c r="I17" i="214"/>
  <c r="E18" i="214"/>
  <c r="J18" i="214"/>
  <c r="L42" i="214"/>
  <c r="I5" i="214"/>
  <c r="J6" i="214"/>
  <c r="F7" i="214"/>
  <c r="R39" i="19"/>
  <c r="F12" i="214"/>
  <c r="F13" i="214"/>
  <c r="G14" i="214"/>
  <c r="F17" i="214"/>
  <c r="J17" i="214"/>
  <c r="R28" i="175"/>
  <c r="L39" i="214"/>
  <c r="I58" i="214"/>
  <c r="J8" i="214"/>
  <c r="D40" i="214"/>
  <c r="D5" i="214"/>
  <c r="S50" i="169"/>
  <c r="H37" i="214"/>
  <c r="R47" i="16"/>
  <c r="R7" i="181" s="1"/>
  <c r="I7" i="214"/>
  <c r="D14" i="214"/>
  <c r="K18" i="214"/>
  <c r="K65" i="214" s="1"/>
  <c r="G50" i="214"/>
  <c r="D11" i="214"/>
  <c r="D17" i="214"/>
  <c r="F6" i="214"/>
  <c r="R55" i="17"/>
  <c r="D6" i="214"/>
  <c r="D9" i="214"/>
  <c r="Q9" i="214" s="1"/>
  <c r="R50" i="18"/>
  <c r="G8" i="214"/>
  <c r="D18" i="214"/>
  <c r="I50" i="214"/>
  <c r="O28" i="91"/>
  <c r="O34" i="91" s="1"/>
  <c r="H4" i="214"/>
  <c r="D4" i="214"/>
  <c r="F4" i="214"/>
  <c r="H6" i="214"/>
  <c r="D62" i="214"/>
  <c r="T50" i="208"/>
  <c r="R62" i="181" s="1"/>
  <c r="D53" i="214"/>
  <c r="H45" i="189"/>
  <c r="R30" i="181"/>
  <c r="F30" i="214"/>
  <c r="D27" i="214"/>
  <c r="D30" i="214"/>
  <c r="D52" i="214"/>
  <c r="R41" i="232"/>
  <c r="R28" i="181" s="1"/>
  <c r="S27" i="21"/>
  <c r="F10" i="214" s="1"/>
  <c r="U38" i="213"/>
  <c r="R15" i="181" s="1"/>
  <c r="S36" i="24"/>
  <c r="G16" i="214" s="1"/>
  <c r="T36" i="28"/>
  <c r="U35" i="31"/>
  <c r="P28" i="44"/>
  <c r="F44" i="214" s="1"/>
  <c r="S32" i="168"/>
  <c r="G31" i="214" s="1"/>
  <c r="P34" i="174"/>
  <c r="H52" i="214" s="1"/>
  <c r="S41" i="100"/>
  <c r="I48" i="185"/>
  <c r="S30" i="24"/>
  <c r="F16" i="214" s="1"/>
  <c r="T27" i="28"/>
  <c r="R39" i="175"/>
  <c r="S34" i="21"/>
  <c r="G10" i="214" s="1"/>
  <c r="Q41" i="59"/>
  <c r="G11" i="214" s="1"/>
  <c r="T49" i="116"/>
  <c r="T37" i="114"/>
  <c r="R21" i="181" s="1"/>
  <c r="U40" i="31"/>
  <c r="H23" i="214" s="1"/>
  <c r="Q48" i="163"/>
  <c r="S37" i="168"/>
  <c r="H31" i="214" s="1"/>
  <c r="S30" i="37"/>
  <c r="G35" i="214" s="1"/>
  <c r="T35" i="38"/>
  <c r="G36" i="214" s="1"/>
  <c r="T40" i="38"/>
  <c r="H36" i="214" s="1"/>
  <c r="S27" i="40"/>
  <c r="F38" i="214" s="1"/>
  <c r="P41" i="44"/>
  <c r="H44" i="214" s="1"/>
  <c r="H43" i="221"/>
  <c r="R45" i="181" s="1"/>
  <c r="Q31" i="46"/>
  <c r="G46" i="214" s="1"/>
  <c r="Q37" i="46"/>
  <c r="H46" i="214" s="1"/>
  <c r="R24" i="181"/>
  <c r="R29" i="180"/>
  <c r="G48" i="214" s="1"/>
  <c r="R40" i="53"/>
  <c r="H50" i="214" s="1"/>
  <c r="S31" i="63"/>
  <c r="G54" i="214" s="1"/>
  <c r="R20" i="23"/>
  <c r="F55" i="214" s="1"/>
  <c r="R26" i="23"/>
  <c r="G55" i="214" s="1"/>
  <c r="R31" i="23"/>
  <c r="H55" i="214" s="1"/>
  <c r="R40" i="171"/>
  <c r="H49" i="214" s="1"/>
  <c r="R2" i="181"/>
  <c r="P23" i="126"/>
  <c r="F58" i="214" s="1"/>
  <c r="I51" i="125"/>
  <c r="R51" i="172"/>
  <c r="R48" i="180"/>
  <c r="E42" i="230"/>
  <c r="S43" i="37"/>
  <c r="S59" i="162"/>
  <c r="S48" i="25"/>
  <c r="G12" i="214" l="1"/>
  <c r="H12" i="214"/>
  <c r="H9" i="214"/>
  <c r="F18" i="214"/>
  <c r="P48" i="126"/>
  <c r="F19" i="214"/>
  <c r="S48" i="21"/>
  <c r="G19" i="214"/>
  <c r="H8" i="214"/>
  <c r="G9" i="214"/>
  <c r="H18" i="214"/>
  <c r="G18" i="214"/>
  <c r="G23" i="214"/>
  <c r="R4" i="181"/>
  <c r="G4" i="214"/>
  <c r="R50" i="175"/>
  <c r="H19" i="214"/>
  <c r="R42" i="23"/>
  <c r="R55" i="181" s="1"/>
  <c r="R35" i="181"/>
  <c r="G55" i="216"/>
  <c r="R26" i="181"/>
  <c r="R13" i="181"/>
  <c r="R27" i="181"/>
  <c r="R20" i="181"/>
  <c r="R57" i="181"/>
  <c r="R53" i="181"/>
  <c r="R51" i="181"/>
  <c r="R48" i="181"/>
  <c r="R47" i="181"/>
  <c r="R43" i="181"/>
  <c r="R37" i="181"/>
  <c r="R29" i="181"/>
  <c r="R17" i="181"/>
  <c r="R10" i="181"/>
  <c r="R8" i="181"/>
  <c r="R6" i="181"/>
  <c r="R19" i="181" l="1"/>
  <c r="R58" i="181"/>
  <c r="R63" i="181"/>
  <c r="F65" i="226" l="1"/>
  <c r="E65" i="226"/>
  <c r="D65" i="226"/>
  <c r="C65" i="226"/>
  <c r="H64" i="226"/>
  <c r="G64" i="226"/>
  <c r="H63" i="226"/>
  <c r="G63" i="226"/>
  <c r="H62" i="226"/>
  <c r="G62" i="226"/>
  <c r="H61" i="226"/>
  <c r="G61" i="226"/>
  <c r="H60" i="226"/>
  <c r="G60" i="226"/>
  <c r="H59" i="226"/>
  <c r="G59" i="226"/>
  <c r="H58" i="226"/>
  <c r="G58" i="226"/>
  <c r="H57" i="226"/>
  <c r="G57" i="226"/>
  <c r="H56" i="226"/>
  <c r="G56" i="226"/>
  <c r="H55" i="226"/>
  <c r="G55" i="226"/>
  <c r="H54" i="226"/>
  <c r="G54" i="226"/>
  <c r="H53" i="226"/>
  <c r="G53" i="226"/>
  <c r="H52" i="226"/>
  <c r="G52" i="226"/>
  <c r="H51" i="226"/>
  <c r="G51" i="226"/>
  <c r="H50" i="226"/>
  <c r="G50" i="226"/>
  <c r="H49" i="226"/>
  <c r="G49" i="226"/>
  <c r="H48" i="226"/>
  <c r="G48" i="226"/>
  <c r="H47" i="226"/>
  <c r="G47" i="226"/>
  <c r="H46" i="226"/>
  <c r="G46" i="226"/>
  <c r="H45" i="226"/>
  <c r="G45" i="226"/>
  <c r="H44" i="226"/>
  <c r="G44" i="226"/>
  <c r="H43" i="226"/>
  <c r="G43" i="226"/>
  <c r="H42" i="226"/>
  <c r="G42" i="226"/>
  <c r="H41" i="226"/>
  <c r="G41" i="226"/>
  <c r="H40" i="226"/>
  <c r="G40" i="226"/>
  <c r="H39" i="226"/>
  <c r="G39" i="226"/>
  <c r="H38" i="226"/>
  <c r="G38" i="226"/>
  <c r="H37" i="226"/>
  <c r="G37" i="226"/>
  <c r="H36" i="226"/>
  <c r="G36" i="226"/>
  <c r="H35" i="226"/>
  <c r="G35" i="226"/>
  <c r="H34" i="226"/>
  <c r="G34" i="226"/>
  <c r="H33" i="226"/>
  <c r="G33" i="226"/>
  <c r="H32" i="226"/>
  <c r="G32" i="226"/>
  <c r="H31" i="226"/>
  <c r="G31" i="226"/>
  <c r="H30" i="226"/>
  <c r="G30" i="226"/>
  <c r="H29" i="226"/>
  <c r="G29" i="226"/>
  <c r="H28" i="226"/>
  <c r="G28" i="226"/>
  <c r="H27" i="226"/>
  <c r="G27" i="226"/>
  <c r="H26" i="226"/>
  <c r="G26" i="226"/>
  <c r="H25" i="226"/>
  <c r="G25" i="226"/>
  <c r="H24" i="226"/>
  <c r="G24" i="226"/>
  <c r="H23" i="226"/>
  <c r="G23" i="226"/>
  <c r="H22" i="226"/>
  <c r="G22" i="226"/>
  <c r="H21" i="226"/>
  <c r="G21" i="226"/>
  <c r="H20" i="226"/>
  <c r="G20" i="226"/>
  <c r="H19" i="226"/>
  <c r="G19" i="226"/>
  <c r="H18" i="226"/>
  <c r="G18" i="226"/>
  <c r="H17" i="226"/>
  <c r="G17" i="226"/>
  <c r="H16" i="226"/>
  <c r="G16" i="226"/>
  <c r="H15" i="226"/>
  <c r="G15" i="226"/>
  <c r="H14" i="226"/>
  <c r="G14" i="226"/>
  <c r="H13" i="226"/>
  <c r="G13" i="226"/>
  <c r="H12" i="226"/>
  <c r="G12" i="226"/>
  <c r="H11" i="226"/>
  <c r="G11" i="226"/>
  <c r="H10" i="226"/>
  <c r="G10" i="226"/>
  <c r="H9" i="226"/>
  <c r="G9" i="226"/>
  <c r="H8" i="226"/>
  <c r="G8" i="226"/>
  <c r="H7" i="226"/>
  <c r="G7" i="226"/>
  <c r="H6" i="226"/>
  <c r="G6" i="226"/>
  <c r="H5" i="226"/>
  <c r="G5" i="226"/>
  <c r="H4" i="226"/>
  <c r="G4" i="226"/>
  <c r="H3" i="226"/>
  <c r="H65" i="226" s="1"/>
  <c r="G3" i="226"/>
  <c r="H2" i="226"/>
  <c r="G2" i="226"/>
  <c r="G65" i="226" s="1"/>
  <c r="D36" i="230" l="1"/>
  <c r="D31" i="230"/>
  <c r="Q23" i="180"/>
  <c r="I28" i="214"/>
  <c r="F31" i="230" l="1"/>
  <c r="S23" i="180"/>
  <c r="F36" i="230"/>
  <c r="I15" i="214"/>
  <c r="P9" i="19" l="1"/>
  <c r="Q9" i="19"/>
  <c r="S9" i="19" s="1"/>
  <c r="I8" i="214"/>
  <c r="N51" i="44"/>
  <c r="O9" i="174" l="1"/>
  <c r="N9" i="174"/>
  <c r="Q9" i="174" l="1"/>
  <c r="V57" i="210"/>
  <c r="S57" i="210"/>
  <c r="R47" i="168"/>
  <c r="Q47" i="168"/>
  <c r="N46" i="92"/>
  <c r="P46" i="92" s="1"/>
  <c r="M46" i="92"/>
  <c r="T51" i="31"/>
  <c r="S51" i="31"/>
  <c r="S55" i="28"/>
  <c r="U55" i="28" s="1"/>
  <c r="R55" i="28"/>
  <c r="V51" i="31" l="1"/>
  <c r="T47" i="168"/>
  <c r="Q50" i="172"/>
  <c r="S50" i="172" s="1"/>
  <c r="P50" i="172"/>
  <c r="C13" i="197" l="1"/>
  <c r="T80" i="210"/>
  <c r="S80" i="210"/>
  <c r="C16" i="197" l="1"/>
  <c r="V80" i="210"/>
  <c r="T72" i="210"/>
  <c r="S72" i="210"/>
  <c r="N43" i="92"/>
  <c r="P15" i="178"/>
  <c r="P23" i="178"/>
  <c r="Q23" i="178" s="1"/>
  <c r="R23" i="178" s="1"/>
  <c r="V72" i="210" l="1"/>
  <c r="R15" i="178"/>
  <c r="P43" i="92"/>
  <c r="F51" i="216"/>
  <c r="F9" i="216"/>
  <c r="S46" i="208"/>
  <c r="S43" i="208"/>
  <c r="S34" i="208"/>
  <c r="S29" i="208"/>
  <c r="S23" i="208"/>
  <c r="S8" i="208"/>
  <c r="G36" i="198"/>
  <c r="G31" i="198"/>
  <c r="G7" i="198"/>
  <c r="G48" i="182"/>
  <c r="G8" i="182"/>
  <c r="Q49" i="184"/>
  <c r="Q12" i="184"/>
  <c r="H47" i="125"/>
  <c r="H44" i="125"/>
  <c r="H36" i="125"/>
  <c r="H32" i="125"/>
  <c r="H9" i="125"/>
  <c r="R34" i="75"/>
  <c r="R27" i="75"/>
  <c r="R17" i="75"/>
  <c r="Q41" i="23"/>
  <c r="Q8" i="23"/>
  <c r="R41" i="63"/>
  <c r="R8" i="63"/>
  <c r="Q45" i="177"/>
  <c r="Q42" i="177"/>
  <c r="Q34" i="177"/>
  <c r="Q30" i="177"/>
  <c r="Q9" i="177"/>
  <c r="O47" i="174"/>
  <c r="O41" i="174"/>
  <c r="Q47" i="172"/>
  <c r="Q44" i="172"/>
  <c r="Q37" i="172"/>
  <c r="Q32" i="172"/>
  <c r="Q26" i="172"/>
  <c r="Q9" i="172"/>
  <c r="Q47" i="53"/>
  <c r="Q11" i="53"/>
  <c r="Q58" i="171"/>
  <c r="Q50" i="171"/>
  <c r="Q47" i="171"/>
  <c r="Q11" i="171"/>
  <c r="Q47" i="180"/>
  <c r="Q9" i="180"/>
  <c r="D41" i="230"/>
  <c r="F41" i="230" s="1"/>
  <c r="D25" i="230"/>
  <c r="D8" i="230"/>
  <c r="P46" i="46"/>
  <c r="P43" i="46"/>
  <c r="P9" i="46"/>
  <c r="G42" i="221"/>
  <c r="I42" i="221" s="1"/>
  <c r="G35" i="221"/>
  <c r="G29" i="221"/>
  <c r="G23" i="221"/>
  <c r="G9" i="221"/>
  <c r="O62" i="44"/>
  <c r="O57" i="44"/>
  <c r="O9" i="44"/>
  <c r="G41" i="189"/>
  <c r="G34" i="189"/>
  <c r="G29" i="189"/>
  <c r="G23" i="189"/>
  <c r="G9" i="189"/>
  <c r="G48" i="200"/>
  <c r="G45" i="200"/>
  <c r="G41" i="200"/>
  <c r="I41" i="200" s="1"/>
  <c r="G29" i="200"/>
  <c r="G23" i="200"/>
  <c r="G9" i="200"/>
  <c r="P62" i="178"/>
  <c r="P42" i="178"/>
  <c r="P9" i="178"/>
  <c r="R38" i="170"/>
  <c r="R26" i="170"/>
  <c r="R10" i="170"/>
  <c r="R53" i="41"/>
  <c r="T53" i="41" s="1"/>
  <c r="R47" i="41"/>
  <c r="R39" i="41"/>
  <c r="R8" i="41"/>
  <c r="R8" i="40"/>
  <c r="R50" i="40"/>
  <c r="R39" i="40"/>
  <c r="R34" i="40"/>
  <c r="R49" i="169"/>
  <c r="R43" i="169"/>
  <c r="R40" i="169"/>
  <c r="R32" i="169"/>
  <c r="R27" i="169"/>
  <c r="R9" i="169"/>
  <c r="S46" i="38"/>
  <c r="S9" i="38"/>
  <c r="R42" i="37"/>
  <c r="R39" i="37"/>
  <c r="R34" i="37"/>
  <c r="R24" i="37"/>
  <c r="R8" i="37"/>
  <c r="T83" i="210"/>
  <c r="T37" i="210"/>
  <c r="T29" i="210"/>
  <c r="T9" i="210"/>
  <c r="V9" i="210" s="1"/>
  <c r="T5" i="210"/>
  <c r="R69" i="176"/>
  <c r="R59" i="176"/>
  <c r="R54" i="176"/>
  <c r="R13" i="176"/>
  <c r="T13" i="176" s="1"/>
  <c r="R9" i="176"/>
  <c r="R35" i="35"/>
  <c r="R8" i="35"/>
  <c r="R50" i="168"/>
  <c r="R7" i="168"/>
  <c r="T7" i="168" s="1"/>
  <c r="R39" i="165"/>
  <c r="R33" i="165"/>
  <c r="R23" i="165"/>
  <c r="R10" i="165"/>
  <c r="R58" i="162"/>
  <c r="R55" i="162"/>
  <c r="R51" i="162"/>
  <c r="R43" i="162"/>
  <c r="R39" i="162"/>
  <c r="R30" i="162"/>
  <c r="R11" i="162"/>
  <c r="Q33" i="232"/>
  <c r="S33" i="232" s="1"/>
  <c r="Q29" i="232"/>
  <c r="Q23" i="232"/>
  <c r="Q8" i="232"/>
  <c r="Q40" i="233"/>
  <c r="S40" i="233" s="1"/>
  <c r="Q29" i="233"/>
  <c r="Q24" i="233"/>
  <c r="Q8" i="233"/>
  <c r="P47" i="163"/>
  <c r="R47" i="163" s="1"/>
  <c r="P39" i="163"/>
  <c r="P35" i="163"/>
  <c r="P27" i="163"/>
  <c r="P12" i="163"/>
  <c r="R12" i="163" s="1"/>
  <c r="P9" i="163"/>
  <c r="Q33" i="51"/>
  <c r="Q23" i="51"/>
  <c r="N35" i="92"/>
  <c r="P35" i="92" s="1"/>
  <c r="N31" i="92"/>
  <c r="N24" i="92"/>
  <c r="N12" i="92"/>
  <c r="P12" i="92" s="1"/>
  <c r="N9" i="92"/>
  <c r="P9" i="92" s="1"/>
  <c r="T48" i="31"/>
  <c r="T9" i="31"/>
  <c r="V9" i="31" s="1"/>
  <c r="T6" i="31"/>
  <c r="R49" i="183"/>
  <c r="R43" i="183"/>
  <c r="R9" i="183"/>
  <c r="S36" i="114"/>
  <c r="S31" i="114"/>
  <c r="S21" i="114"/>
  <c r="U21" i="114" s="1"/>
  <c r="S10" i="114"/>
  <c r="S45" i="116"/>
  <c r="S38" i="116"/>
  <c r="S33" i="116"/>
  <c r="S26" i="116"/>
  <c r="S11" i="116"/>
  <c r="U11" i="116" s="1"/>
  <c r="S58" i="28"/>
  <c r="U58" i="28" s="1"/>
  <c r="S13" i="28"/>
  <c r="U13" i="28" s="1"/>
  <c r="S7" i="28"/>
  <c r="U7" i="28" s="1"/>
  <c r="R47" i="25"/>
  <c r="T47" i="25" s="1"/>
  <c r="R44" i="25"/>
  <c r="T44" i="25" s="1"/>
  <c r="R33" i="25"/>
  <c r="T33" i="25" s="1"/>
  <c r="R27" i="25"/>
  <c r="T27" i="25" s="1"/>
  <c r="R14" i="25"/>
  <c r="T14" i="25" s="1"/>
  <c r="R41" i="24"/>
  <c r="R10" i="24"/>
  <c r="T19" i="213"/>
  <c r="T8" i="213"/>
  <c r="R46" i="212"/>
  <c r="T46" i="212" s="1"/>
  <c r="R31" i="212"/>
  <c r="T31" i="212" s="1"/>
  <c r="R22" i="212"/>
  <c r="T22" i="212" s="1"/>
  <c r="R7" i="212"/>
  <c r="T7" i="212" s="1"/>
  <c r="H47" i="185"/>
  <c r="J47" i="185" s="1"/>
  <c r="H44" i="185"/>
  <c r="J44" i="185" s="1"/>
  <c r="H37" i="185"/>
  <c r="J37" i="185" s="1"/>
  <c r="H33" i="185"/>
  <c r="J33" i="185" s="1"/>
  <c r="H26" i="185"/>
  <c r="J26" i="185" s="1"/>
  <c r="H8" i="185"/>
  <c r="J8" i="185" s="1"/>
  <c r="R52" i="100"/>
  <c r="T52" i="100" s="1"/>
  <c r="R27" i="100"/>
  <c r="T27" i="100" s="1"/>
  <c r="R13" i="100"/>
  <c r="T13" i="100" s="1"/>
  <c r="P58" i="59"/>
  <c r="P14" i="59"/>
  <c r="R14" i="59" s="1"/>
  <c r="P8" i="59"/>
  <c r="R11" i="21"/>
  <c r="T11" i="21" s="1"/>
  <c r="Q50" i="19"/>
  <c r="S50" i="19" s="1"/>
  <c r="Q47" i="19"/>
  <c r="S47" i="19" s="1"/>
  <c r="Q44" i="19"/>
  <c r="S44" i="19" s="1"/>
  <c r="Q14" i="19"/>
  <c r="S14" i="19" s="1"/>
  <c r="Q47" i="18"/>
  <c r="S47" i="18" s="1"/>
  <c r="Q35" i="18"/>
  <c r="S35" i="18" s="1"/>
  <c r="Q11" i="18"/>
  <c r="S11" i="18" s="1"/>
  <c r="Q46" i="16"/>
  <c r="S46" i="16" s="1"/>
  <c r="Q38" i="16"/>
  <c r="S38" i="16" s="1"/>
  <c r="Q33" i="16"/>
  <c r="S33" i="16" s="1"/>
  <c r="Q26" i="16"/>
  <c r="S26" i="16" s="1"/>
  <c r="Q10" i="16"/>
  <c r="S10" i="16" s="1"/>
  <c r="Q54" i="17"/>
  <c r="S54" i="17" s="1"/>
  <c r="Q48" i="17"/>
  <c r="S48" i="17" s="1"/>
  <c r="Q41" i="17"/>
  <c r="S41" i="17" s="1"/>
  <c r="Q36" i="17"/>
  <c r="S36" i="17" s="1"/>
  <c r="Q30" i="17"/>
  <c r="S30" i="17" s="1"/>
  <c r="Q12" i="17"/>
  <c r="S12" i="17" s="1"/>
  <c r="R48" i="83"/>
  <c r="T48" i="83" s="1"/>
  <c r="R45" i="83"/>
  <c r="T45" i="83" s="1"/>
  <c r="R39" i="83"/>
  <c r="T39" i="83" s="1"/>
  <c r="R34" i="83"/>
  <c r="T34" i="83" s="1"/>
  <c r="R11" i="83"/>
  <c r="T11" i="83" s="1"/>
  <c r="N33" i="91"/>
  <c r="P33" i="91" s="1"/>
  <c r="N22" i="91"/>
  <c r="P22" i="91" s="1"/>
  <c r="N10" i="91"/>
  <c r="P10" i="91" s="1"/>
  <c r="M10" i="91"/>
  <c r="R8" i="59" l="1"/>
  <c r="R58" i="59"/>
  <c r="V8" i="213"/>
  <c r="T10" i="24"/>
  <c r="U33" i="116"/>
  <c r="U45" i="116"/>
  <c r="U36" i="114"/>
  <c r="T43" i="183"/>
  <c r="V6" i="31"/>
  <c r="V48" i="31"/>
  <c r="P31" i="92"/>
  <c r="S23" i="51"/>
  <c r="R9" i="163"/>
  <c r="R27" i="163"/>
  <c r="R39" i="163"/>
  <c r="S8" i="233"/>
  <c r="S29" i="233"/>
  <c r="S8" i="232"/>
  <c r="S29" i="232"/>
  <c r="T11" i="162"/>
  <c r="T39" i="162"/>
  <c r="T51" i="162"/>
  <c r="T58" i="162"/>
  <c r="T23" i="165"/>
  <c r="T39" i="165"/>
  <c r="T50" i="168"/>
  <c r="T35" i="35"/>
  <c r="T59" i="176"/>
  <c r="V5" i="210"/>
  <c r="V29" i="210"/>
  <c r="C15" i="197"/>
  <c r="V77" i="210"/>
  <c r="T8" i="37"/>
  <c r="T34" i="37"/>
  <c r="T42" i="37"/>
  <c r="U46" i="38"/>
  <c r="T27" i="169"/>
  <c r="T40" i="169"/>
  <c r="T49" i="169"/>
  <c r="T39" i="40"/>
  <c r="T8" i="40"/>
  <c r="T8" i="41"/>
  <c r="T47" i="41"/>
  <c r="T10" i="170"/>
  <c r="T38" i="170"/>
  <c r="R42" i="178"/>
  <c r="R62" i="178"/>
  <c r="I23" i="200"/>
  <c r="I48" i="200"/>
  <c r="I23" i="189"/>
  <c r="I34" i="189"/>
  <c r="Q9" i="44"/>
  <c r="Q62" i="44"/>
  <c r="I23" i="221"/>
  <c r="I35" i="221"/>
  <c r="R9" i="46"/>
  <c r="R46" i="46"/>
  <c r="F25" i="230"/>
  <c r="S9" i="180"/>
  <c r="S11" i="171"/>
  <c r="S50" i="171"/>
  <c r="S11" i="53"/>
  <c r="S9" i="172"/>
  <c r="S32" i="172"/>
  <c r="S44" i="172"/>
  <c r="Q41" i="174"/>
  <c r="S9" i="177"/>
  <c r="S34" i="177"/>
  <c r="S45" i="177"/>
  <c r="T41" i="63"/>
  <c r="S41" i="23"/>
  <c r="T27" i="75"/>
  <c r="J9" i="125"/>
  <c r="J36" i="125"/>
  <c r="J47" i="125"/>
  <c r="S49" i="184"/>
  <c r="I48" i="182"/>
  <c r="I31" i="198"/>
  <c r="U8" i="208"/>
  <c r="U29" i="208"/>
  <c r="U43" i="208"/>
  <c r="H9" i="216"/>
  <c r="V19" i="213"/>
  <c r="T41" i="24"/>
  <c r="U26" i="116"/>
  <c r="U38" i="116"/>
  <c r="U10" i="114"/>
  <c r="U31" i="114"/>
  <c r="T9" i="183"/>
  <c r="T49" i="183"/>
  <c r="P24" i="92"/>
  <c r="S33" i="51"/>
  <c r="R35" i="163"/>
  <c r="S24" i="233"/>
  <c r="S23" i="232"/>
  <c r="T30" i="162"/>
  <c r="T43" i="162"/>
  <c r="T55" i="162"/>
  <c r="T10" i="165"/>
  <c r="T33" i="165"/>
  <c r="T8" i="35"/>
  <c r="T9" i="176"/>
  <c r="T54" i="176"/>
  <c r="T69" i="176"/>
  <c r="V37" i="210"/>
  <c r="V83" i="210"/>
  <c r="T24" i="37"/>
  <c r="T39" i="37"/>
  <c r="U9" i="38"/>
  <c r="T9" i="169"/>
  <c r="T32" i="169"/>
  <c r="T43" i="169"/>
  <c r="T34" i="40"/>
  <c r="T50" i="40"/>
  <c r="T39" i="41"/>
  <c r="T26" i="170"/>
  <c r="R9" i="178"/>
  <c r="R55" i="178"/>
  <c r="I9" i="200"/>
  <c r="I29" i="200"/>
  <c r="I45" i="200"/>
  <c r="I9" i="189"/>
  <c r="I29" i="189"/>
  <c r="I41" i="189"/>
  <c r="Q57" i="44"/>
  <c r="I9" i="221"/>
  <c r="I29" i="221"/>
  <c r="R43" i="46"/>
  <c r="F8" i="230"/>
  <c r="S47" i="180"/>
  <c r="S47" i="171"/>
  <c r="S58" i="171"/>
  <c r="S47" i="53"/>
  <c r="S26" i="172"/>
  <c r="S37" i="172"/>
  <c r="S47" i="172"/>
  <c r="Q47" i="174"/>
  <c r="S30" i="177"/>
  <c r="S42" i="177"/>
  <c r="T8" i="63"/>
  <c r="S8" i="23"/>
  <c r="T17" i="75"/>
  <c r="T34" i="75"/>
  <c r="J32" i="125"/>
  <c r="J44" i="125"/>
  <c r="S12" i="184"/>
  <c r="I8" i="182"/>
  <c r="I7" i="198"/>
  <c r="I36" i="198"/>
  <c r="U23" i="208"/>
  <c r="U34" i="208"/>
  <c r="U46" i="208"/>
  <c r="H51" i="216"/>
  <c r="G43" i="221"/>
  <c r="I43" i="221" s="1"/>
  <c r="N50" i="92"/>
  <c r="P50" i="92" s="1"/>
  <c r="Q46" i="233"/>
  <c r="S46" i="233" s="1"/>
  <c r="Q41" i="232"/>
  <c r="S41" i="232" s="1"/>
  <c r="D42" i="230"/>
  <c r="F42" i="230" s="1"/>
  <c r="P48" i="163"/>
  <c r="R48" i="163" s="1"/>
  <c r="R59" i="162"/>
  <c r="T59" i="162" s="1"/>
  <c r="Q51" i="172"/>
  <c r="S51" i="172" s="1"/>
  <c r="Q47" i="16"/>
  <c r="S47" i="16" s="1"/>
  <c r="Q7" i="214"/>
  <c r="S50" i="208"/>
  <c r="U50" i="208" s="1"/>
  <c r="G45" i="189"/>
  <c r="I45" i="189" s="1"/>
  <c r="H48" i="185"/>
  <c r="J48" i="185" s="1"/>
  <c r="R58" i="28" l="1"/>
  <c r="N57" i="44"/>
  <c r="Q44" i="176"/>
  <c r="R28" i="176" l="1"/>
  <c r="F50" i="233"/>
  <c r="O40" i="233"/>
  <c r="N40" i="233"/>
  <c r="M40" i="233"/>
  <c r="L40" i="233"/>
  <c r="K40" i="233"/>
  <c r="F40" i="233"/>
  <c r="J36" i="233"/>
  <c r="I36" i="233"/>
  <c r="H36" i="233"/>
  <c r="G36" i="233"/>
  <c r="F36" i="233"/>
  <c r="E36" i="233"/>
  <c r="D36" i="233"/>
  <c r="C36" i="233"/>
  <c r="O33" i="233"/>
  <c r="N33" i="233"/>
  <c r="L33" i="233"/>
  <c r="K33" i="233"/>
  <c r="M31" i="233"/>
  <c r="M33" i="233" s="1"/>
  <c r="L29" i="233"/>
  <c r="K29" i="233"/>
  <c r="M28" i="233"/>
  <c r="N28" i="233" s="1"/>
  <c r="N29" i="233" s="1"/>
  <c r="M27" i="233"/>
  <c r="H25" i="233"/>
  <c r="G25" i="233"/>
  <c r="E25" i="233"/>
  <c r="D25" i="233"/>
  <c r="C25" i="233"/>
  <c r="P24" i="233"/>
  <c r="P46" i="233" s="1"/>
  <c r="O24" i="233"/>
  <c r="N24" i="233"/>
  <c r="L24" i="233"/>
  <c r="K24" i="233"/>
  <c r="M21" i="233"/>
  <c r="M19" i="233"/>
  <c r="M18" i="233"/>
  <c r="M14" i="233"/>
  <c r="J12" i="233"/>
  <c r="I12" i="233"/>
  <c r="H12" i="233"/>
  <c r="G12" i="233"/>
  <c r="F12" i="233"/>
  <c r="E12" i="233"/>
  <c r="D12" i="233"/>
  <c r="C12" i="233"/>
  <c r="K8" i="233"/>
  <c r="N7" i="233"/>
  <c r="N8" i="233" s="1"/>
  <c r="M6" i="233"/>
  <c r="L6" i="233"/>
  <c r="L4" i="233"/>
  <c r="S44" i="176" l="1"/>
  <c r="S73" i="176" s="1"/>
  <c r="T28" i="176"/>
  <c r="L8" i="233"/>
  <c r="R44" i="176"/>
  <c r="M29" i="233"/>
  <c r="O28" i="233"/>
  <c r="O29" i="233" s="1"/>
  <c r="L46" i="233"/>
  <c r="K46" i="233"/>
  <c r="M24" i="233"/>
  <c r="N46" i="233"/>
  <c r="O7" i="233"/>
  <c r="O8" i="233" s="1"/>
  <c r="F33" i="214" l="1"/>
  <c r="Q33" i="214" s="1"/>
  <c r="T44" i="176"/>
  <c r="O46" i="233"/>
  <c r="Q27" i="181"/>
  <c r="S27" i="181" s="1"/>
  <c r="P23" i="232" l="1"/>
  <c r="P41" i="232" s="1"/>
  <c r="F45" i="232"/>
  <c r="O40" i="232"/>
  <c r="N40" i="232"/>
  <c r="M40" i="232"/>
  <c r="L40" i="232"/>
  <c r="K40" i="232"/>
  <c r="F40" i="232"/>
  <c r="J36" i="232"/>
  <c r="I36" i="232"/>
  <c r="H36" i="232"/>
  <c r="G36" i="232"/>
  <c r="F36" i="232"/>
  <c r="E36" i="232"/>
  <c r="D36" i="232"/>
  <c r="C36" i="232"/>
  <c r="O33" i="232"/>
  <c r="N33" i="232"/>
  <c r="L33" i="232"/>
  <c r="K33" i="232"/>
  <c r="M31" i="232"/>
  <c r="M33" i="232" s="1"/>
  <c r="L29" i="232"/>
  <c r="K29" i="232"/>
  <c r="M28" i="232"/>
  <c r="M27" i="232"/>
  <c r="N27" i="232" s="1"/>
  <c r="M26" i="232"/>
  <c r="H24" i="232"/>
  <c r="G24" i="232"/>
  <c r="E24" i="232"/>
  <c r="D24" i="232"/>
  <c r="C24" i="232"/>
  <c r="O23" i="232"/>
  <c r="N23" i="232"/>
  <c r="L23" i="232"/>
  <c r="K23" i="232"/>
  <c r="M20" i="232"/>
  <c r="M19" i="232"/>
  <c r="J18" i="232"/>
  <c r="I18" i="232"/>
  <c r="H18" i="232"/>
  <c r="G18" i="232"/>
  <c r="F18" i="232"/>
  <c r="E18" i="232"/>
  <c r="D18" i="232"/>
  <c r="C18" i="232"/>
  <c r="M17" i="232"/>
  <c r="M16" i="232"/>
  <c r="M11" i="232"/>
  <c r="J9" i="232"/>
  <c r="I9" i="232"/>
  <c r="H9" i="232"/>
  <c r="G9" i="232"/>
  <c r="F9" i="232"/>
  <c r="E9" i="232"/>
  <c r="D9" i="232"/>
  <c r="C9" i="232"/>
  <c r="K8" i="232"/>
  <c r="N7" i="232"/>
  <c r="O7" i="232" s="1"/>
  <c r="M6" i="232"/>
  <c r="L6" i="232"/>
  <c r="L4" i="232"/>
  <c r="L8" i="232" l="1"/>
  <c r="M29" i="232"/>
  <c r="K41" i="232"/>
  <c r="M23" i="232"/>
  <c r="L41" i="232"/>
  <c r="N29" i="232"/>
  <c r="O27" i="232"/>
  <c r="O8" i="232"/>
  <c r="N8" i="232"/>
  <c r="O29" i="232" l="1"/>
  <c r="O41" i="232" s="1"/>
  <c r="N41" i="232"/>
  <c r="G9" i="125"/>
  <c r="G44" i="125"/>
  <c r="S44" i="210"/>
  <c r="R39" i="212"/>
  <c r="T39" i="212" s="1"/>
  <c r="R43" i="212" l="1"/>
  <c r="S43" i="212"/>
  <c r="Q30" i="162"/>
  <c r="Q39" i="162"/>
  <c r="T43" i="212" l="1"/>
  <c r="I14" i="214"/>
  <c r="P57" i="184"/>
  <c r="P12" i="184"/>
  <c r="F54" i="216"/>
  <c r="H54" i="216" s="1"/>
  <c r="E54" i="216"/>
  <c r="O55" i="178"/>
  <c r="P54" i="17" l="1"/>
  <c r="P51" i="17"/>
  <c r="P48" i="17"/>
  <c r="P30" i="17"/>
  <c r="P12" i="17"/>
  <c r="Q45" i="83"/>
  <c r="Q28" i="181" l="1"/>
  <c r="S28" i="181" s="1"/>
  <c r="P49" i="184"/>
  <c r="P52" i="184"/>
  <c r="Q57" i="184"/>
  <c r="S57" i="184" s="1"/>
  <c r="H50" i="125"/>
  <c r="J50" i="125" s="1"/>
  <c r="G50" i="125"/>
  <c r="G47" i="125"/>
  <c r="S83" i="210"/>
  <c r="P58" i="171"/>
  <c r="P47" i="180"/>
  <c r="O65" i="44"/>
  <c r="N65" i="44"/>
  <c r="Q49" i="169"/>
  <c r="Q69" i="176"/>
  <c r="Q49" i="183"/>
  <c r="R48" i="116"/>
  <c r="S48" i="116"/>
  <c r="Q48" i="116"/>
  <c r="O58" i="59"/>
  <c r="C52" i="83"/>
  <c r="D52" i="83"/>
  <c r="E52" i="83"/>
  <c r="F52" i="83"/>
  <c r="S9" i="210"/>
  <c r="Q13" i="176"/>
  <c r="Q9" i="176"/>
  <c r="O12" i="163"/>
  <c r="M12" i="92"/>
  <c r="S48" i="31"/>
  <c r="S9" i="31"/>
  <c r="R13" i="28"/>
  <c r="R7" i="28"/>
  <c r="Q13" i="100"/>
  <c r="O14" i="59"/>
  <c r="O8" i="59"/>
  <c r="P14" i="19"/>
  <c r="S29" i="210"/>
  <c r="O20" i="214" l="1"/>
  <c r="O65" i="214" s="1"/>
  <c r="U48" i="116"/>
  <c r="Q65" i="44"/>
  <c r="Q47" i="41"/>
  <c r="C17" i="197" l="1"/>
  <c r="R41" i="165"/>
  <c r="R42" i="165" l="1"/>
  <c r="T41" i="165"/>
  <c r="Q48" i="175"/>
  <c r="S48" i="175" s="1"/>
  <c r="Q42" i="175"/>
  <c r="S42" i="175" s="1"/>
  <c r="R18" i="83"/>
  <c r="T18" i="83" s="1"/>
  <c r="Q46" i="175" l="1"/>
  <c r="S46" i="175" s="1"/>
  <c r="R28" i="83"/>
  <c r="Q49" i="175"/>
  <c r="S49" i="175" s="1"/>
  <c r="T42" i="165"/>
  <c r="R52" i="83" l="1"/>
  <c r="S28" i="83"/>
  <c r="P45" i="178"/>
  <c r="T28" i="83" l="1"/>
  <c r="F5" i="214"/>
  <c r="Q5" i="214" s="1"/>
  <c r="S52" i="83"/>
  <c r="T52" i="83" s="1"/>
  <c r="P48" i="178"/>
  <c r="R45" i="178"/>
  <c r="R45" i="170"/>
  <c r="T45" i="170" s="1"/>
  <c r="R5" i="181" l="1"/>
  <c r="R48" i="178"/>
  <c r="O44" i="126"/>
  <c r="S49" i="28"/>
  <c r="U49" i="28" s="1"/>
  <c r="F48" i="200"/>
  <c r="S52" i="28" l="1"/>
  <c r="U52" i="28" s="1"/>
  <c r="Q44" i="126"/>
  <c r="S46" i="28" l="1"/>
  <c r="S47" i="28" l="1"/>
  <c r="T46" i="28"/>
  <c r="U46" i="28" s="1"/>
  <c r="P47" i="181"/>
  <c r="T47" i="28" l="1"/>
  <c r="E51" i="216"/>
  <c r="E9" i="216"/>
  <c r="R43" i="208"/>
  <c r="R34" i="208"/>
  <c r="R29" i="208"/>
  <c r="R23" i="208"/>
  <c r="R8" i="208"/>
  <c r="F36" i="198"/>
  <c r="F31" i="198"/>
  <c r="F7" i="198"/>
  <c r="G51" i="182"/>
  <c r="F51" i="182"/>
  <c r="F48" i="182"/>
  <c r="F8" i="182"/>
  <c r="O41" i="126"/>
  <c r="N41" i="126"/>
  <c r="O34" i="126"/>
  <c r="N34" i="126"/>
  <c r="O9" i="126"/>
  <c r="N9" i="126"/>
  <c r="G36" i="125"/>
  <c r="Q34" i="75"/>
  <c r="Q27" i="75"/>
  <c r="Q38" i="23"/>
  <c r="P41" i="23"/>
  <c r="P38" i="23"/>
  <c r="P8" i="23"/>
  <c r="Q41" i="63"/>
  <c r="Q8" i="63"/>
  <c r="P45" i="177"/>
  <c r="P42" i="177"/>
  <c r="P34" i="177"/>
  <c r="P30" i="177"/>
  <c r="P9" i="177"/>
  <c r="O44" i="174"/>
  <c r="N44" i="174"/>
  <c r="P44" i="172"/>
  <c r="P37" i="172"/>
  <c r="P32" i="172"/>
  <c r="P9" i="172"/>
  <c r="P47" i="53"/>
  <c r="P11" i="53"/>
  <c r="Q55" i="171"/>
  <c r="P55" i="171"/>
  <c r="P50" i="171"/>
  <c r="P47" i="171"/>
  <c r="P11" i="171"/>
  <c r="Q44" i="180"/>
  <c r="P44" i="180"/>
  <c r="Q41" i="180"/>
  <c r="P41" i="180"/>
  <c r="P23" i="180"/>
  <c r="P9" i="180"/>
  <c r="O46" i="46"/>
  <c r="O43" i="46"/>
  <c r="O9" i="46"/>
  <c r="F42" i="221"/>
  <c r="F35" i="221"/>
  <c r="F29" i="221"/>
  <c r="F23" i="221"/>
  <c r="F9" i="221"/>
  <c r="N62" i="44"/>
  <c r="N9" i="44"/>
  <c r="F34" i="189"/>
  <c r="F29" i="189"/>
  <c r="F23" i="189"/>
  <c r="F9" i="189"/>
  <c r="F45" i="200"/>
  <c r="F29" i="200"/>
  <c r="F23" i="200"/>
  <c r="F9" i="200"/>
  <c r="O62" i="178"/>
  <c r="O48" i="178"/>
  <c r="O42" i="178"/>
  <c r="Q38" i="170"/>
  <c r="Q26" i="170"/>
  <c r="Q10" i="170"/>
  <c r="R50" i="41"/>
  <c r="Q50" i="41"/>
  <c r="Q53" i="41"/>
  <c r="Q39" i="41"/>
  <c r="Q8" i="41"/>
  <c r="Q39" i="40"/>
  <c r="Q34" i="40"/>
  <c r="Q8" i="40"/>
  <c r="Q43" i="169"/>
  <c r="Q40" i="169"/>
  <c r="Q32" i="169"/>
  <c r="Q9" i="169"/>
  <c r="R46" i="38"/>
  <c r="R9" i="38"/>
  <c r="Q42" i="37"/>
  <c r="Q39" i="37"/>
  <c r="Q34" i="37"/>
  <c r="Q8" i="37"/>
  <c r="S77" i="210"/>
  <c r="S53" i="210"/>
  <c r="S37" i="210"/>
  <c r="S5" i="210"/>
  <c r="Q59" i="176"/>
  <c r="Q54" i="176"/>
  <c r="Q42" i="35"/>
  <c r="Q35" i="35"/>
  <c r="Q8" i="35"/>
  <c r="Q50" i="168"/>
  <c r="Q7" i="168"/>
  <c r="Q42" i="165"/>
  <c r="Q39" i="165"/>
  <c r="Q33" i="165"/>
  <c r="Q23" i="165"/>
  <c r="Q10" i="165"/>
  <c r="Q58" i="162"/>
  <c r="Q55" i="162"/>
  <c r="Q51" i="162"/>
  <c r="Q43" i="162"/>
  <c r="Q11" i="162"/>
  <c r="O47" i="163"/>
  <c r="O39" i="163"/>
  <c r="O35" i="163"/>
  <c r="O27" i="163"/>
  <c r="O9" i="163"/>
  <c r="P33" i="51"/>
  <c r="P23" i="51"/>
  <c r="M43" i="92"/>
  <c r="M35" i="92"/>
  <c r="M31" i="92"/>
  <c r="M24" i="92"/>
  <c r="M9" i="92"/>
  <c r="S6" i="31"/>
  <c r="R46" i="183"/>
  <c r="T46" i="183" s="1"/>
  <c r="Q46" i="183"/>
  <c r="Q43" i="183"/>
  <c r="Q9" i="183"/>
  <c r="R36" i="114"/>
  <c r="R31" i="114"/>
  <c r="R10" i="114"/>
  <c r="S42" i="116"/>
  <c r="U42" i="116" s="1"/>
  <c r="Q42" i="116"/>
  <c r="Q38" i="116"/>
  <c r="Q33" i="116"/>
  <c r="R33" i="116"/>
  <c r="Q11" i="116"/>
  <c r="P49" i="175"/>
  <c r="P46" i="175"/>
  <c r="P14" i="175"/>
  <c r="Q47" i="25"/>
  <c r="Q44" i="25"/>
  <c r="Q27" i="25"/>
  <c r="Q14" i="25"/>
  <c r="Q51" i="24"/>
  <c r="Q41" i="24"/>
  <c r="S29" i="213"/>
  <c r="S19" i="213"/>
  <c r="S8" i="213"/>
  <c r="Q43" i="212"/>
  <c r="Q31" i="212"/>
  <c r="Q22" i="212"/>
  <c r="Q7" i="212"/>
  <c r="G37" i="185"/>
  <c r="G33" i="185"/>
  <c r="G26" i="185"/>
  <c r="G8" i="185"/>
  <c r="Q52" i="100"/>
  <c r="Q49" i="100"/>
  <c r="Q27" i="100"/>
  <c r="Q47" i="21"/>
  <c r="Q44" i="21"/>
  <c r="Q11" i="21"/>
  <c r="P50" i="19"/>
  <c r="P47" i="19"/>
  <c r="P44" i="19"/>
  <c r="P47" i="18"/>
  <c r="P35" i="18"/>
  <c r="P11" i="18"/>
  <c r="P46" i="16"/>
  <c r="P38" i="16"/>
  <c r="P26" i="16"/>
  <c r="P10" i="16"/>
  <c r="P41" i="17"/>
  <c r="P36" i="17"/>
  <c r="Q39" i="83"/>
  <c r="Q34" i="83"/>
  <c r="Q11" i="83"/>
  <c r="M33" i="91"/>
  <c r="M22" i="91"/>
  <c r="U47" i="28" l="1"/>
  <c r="I18" i="214"/>
  <c r="T50" i="41"/>
  <c r="S41" i="180"/>
  <c r="S44" i="180"/>
  <c r="S38" i="23"/>
  <c r="T59" i="28"/>
  <c r="J49" i="214"/>
  <c r="S55" i="171"/>
  <c r="J52" i="214"/>
  <c r="Q44" i="174"/>
  <c r="Q9" i="126"/>
  <c r="Q34" i="126"/>
  <c r="Q41" i="126"/>
  <c r="J60" i="214"/>
  <c r="I51" i="182"/>
  <c r="S49" i="116"/>
  <c r="U49" i="116" s="1"/>
  <c r="O48" i="163"/>
  <c r="P26" i="181" s="1"/>
  <c r="S84" i="210"/>
  <c r="P34" i="181" s="1"/>
  <c r="P55" i="17"/>
  <c r="P6" i="181" s="1"/>
  <c r="M50" i="92"/>
  <c r="P24" i="181" s="1"/>
  <c r="Q20" i="181"/>
  <c r="S20" i="181" s="1"/>
  <c r="Q13" i="181"/>
  <c r="S13" i="181" s="1"/>
  <c r="Q26" i="181"/>
  <c r="S26" i="181" s="1"/>
  <c r="Q24" i="181"/>
  <c r="S24" i="181" s="1"/>
  <c r="Q29" i="181"/>
  <c r="S29" i="181" s="1"/>
  <c r="Q45" i="181"/>
  <c r="S45" i="181" s="1"/>
  <c r="Q59" i="162"/>
  <c r="P29" i="181" s="1"/>
  <c r="F43" i="221"/>
  <c r="P45" i="181" s="1"/>
  <c r="Q47" i="181"/>
  <c r="S47" i="181" s="1"/>
  <c r="R18" i="181" l="1"/>
  <c r="Q64" i="210"/>
  <c r="M55" i="178"/>
  <c r="N55" i="178"/>
  <c r="Q26" i="19" l="1"/>
  <c r="S26" i="19" s="1"/>
  <c r="R27" i="19" l="1"/>
  <c r="R48" i="100"/>
  <c r="T47" i="210"/>
  <c r="T53" i="210" s="1"/>
  <c r="T41" i="210"/>
  <c r="F9" i="214" l="1"/>
  <c r="R49" i="100"/>
  <c r="S48" i="100"/>
  <c r="T48" i="100" s="1"/>
  <c r="T44" i="210"/>
  <c r="O46" i="44"/>
  <c r="O51" i="44" l="1"/>
  <c r="P46" i="44"/>
  <c r="P51" i="44" s="1"/>
  <c r="T84" i="210"/>
  <c r="Q34" i="181" s="1"/>
  <c r="R9" i="181"/>
  <c r="V47" i="210"/>
  <c r="J34" i="214"/>
  <c r="V41" i="210"/>
  <c r="U44" i="210"/>
  <c r="S49" i="100"/>
  <c r="F47" i="216"/>
  <c r="F41" i="216"/>
  <c r="F32" i="216"/>
  <c r="F20" i="216"/>
  <c r="Q52" i="184"/>
  <c r="O29" i="126"/>
  <c r="O15" i="126"/>
  <c r="Q15" i="126" s="1"/>
  <c r="H16" i="125"/>
  <c r="R22" i="75"/>
  <c r="Q30" i="23"/>
  <c r="Q24" i="23"/>
  <c r="Q15" i="23"/>
  <c r="S15" i="23" s="1"/>
  <c r="Q12" i="23"/>
  <c r="S12" i="23" s="1"/>
  <c r="R34" i="63"/>
  <c r="R30" i="63"/>
  <c r="R19" i="63"/>
  <c r="T19" i="63" s="1"/>
  <c r="Q17" i="177"/>
  <c r="S17" i="177" s="1"/>
  <c r="O33" i="174"/>
  <c r="Q33" i="174" s="1"/>
  <c r="O32" i="174"/>
  <c r="Q32" i="174" s="1"/>
  <c r="O27" i="174"/>
  <c r="O17" i="174"/>
  <c r="Q17" i="174" s="1"/>
  <c r="Q39" i="53"/>
  <c r="Q31" i="53"/>
  <c r="Q22" i="53"/>
  <c r="S22" i="53" s="1"/>
  <c r="Q21" i="53"/>
  <c r="S21" i="53" s="1"/>
  <c r="Q39" i="171"/>
  <c r="S39" i="171" s="1"/>
  <c r="Q38" i="171"/>
  <c r="S38" i="171" s="1"/>
  <c r="Q33" i="171"/>
  <c r="Q20" i="171"/>
  <c r="S20" i="171" s="1"/>
  <c r="Q14" i="171"/>
  <c r="S14" i="171" s="1"/>
  <c r="Q33" i="180"/>
  <c r="Q28" i="180"/>
  <c r="P36" i="46"/>
  <c r="R36" i="46" s="1"/>
  <c r="P35" i="46"/>
  <c r="R35" i="46" s="1"/>
  <c r="P30" i="46"/>
  <c r="R30" i="46" s="1"/>
  <c r="P29" i="46"/>
  <c r="R29" i="46" s="1"/>
  <c r="P19" i="46"/>
  <c r="R19" i="46" s="1"/>
  <c r="P16" i="46"/>
  <c r="R16" i="46" s="1"/>
  <c r="P15" i="46"/>
  <c r="R15" i="46" s="1"/>
  <c r="O39" i="44"/>
  <c r="O33" i="44"/>
  <c r="O16" i="44"/>
  <c r="Q16" i="44" s="1"/>
  <c r="O12" i="44"/>
  <c r="Q12" i="44" s="1"/>
  <c r="Q43" i="181"/>
  <c r="S43" i="181" s="1"/>
  <c r="R31" i="170"/>
  <c r="R19" i="40"/>
  <c r="R17" i="169"/>
  <c r="S39" i="38"/>
  <c r="S34" i="38"/>
  <c r="S20" i="38"/>
  <c r="U20" i="38" s="1"/>
  <c r="R27" i="37"/>
  <c r="T49" i="100" l="1"/>
  <c r="I12" i="214"/>
  <c r="I44" i="214"/>
  <c r="Q46" i="44"/>
  <c r="V44" i="210"/>
  <c r="I34" i="214"/>
  <c r="Q34" i="214" s="1"/>
  <c r="S35" i="38"/>
  <c r="U34" i="38"/>
  <c r="R22" i="169"/>
  <c r="T22" i="169" s="1"/>
  <c r="T17" i="169"/>
  <c r="R33" i="170"/>
  <c r="T31" i="170"/>
  <c r="O36" i="44"/>
  <c r="Q33" i="44"/>
  <c r="S40" i="38"/>
  <c r="U39" i="38"/>
  <c r="R27" i="40"/>
  <c r="T19" i="40"/>
  <c r="O41" i="44"/>
  <c r="Q41" i="44" s="1"/>
  <c r="Q39" i="44"/>
  <c r="Q29" i="180"/>
  <c r="S28" i="180"/>
  <c r="Q34" i="171"/>
  <c r="S33" i="171"/>
  <c r="Q40" i="53"/>
  <c r="S39" i="53"/>
  <c r="O29" i="174"/>
  <c r="Q27" i="174"/>
  <c r="R35" i="63"/>
  <c r="T34" i="63"/>
  <c r="Q31" i="23"/>
  <c r="S30" i="23"/>
  <c r="H25" i="125"/>
  <c r="J25" i="125" s="1"/>
  <c r="J16" i="125"/>
  <c r="Q29" i="126"/>
  <c r="F27" i="216"/>
  <c r="H27" i="216" s="1"/>
  <c r="H20" i="216"/>
  <c r="F42" i="216"/>
  <c r="H41" i="216"/>
  <c r="R30" i="37"/>
  <c r="T30" i="37" s="1"/>
  <c r="T27" i="37"/>
  <c r="Q34" i="180"/>
  <c r="S34" i="180" s="1"/>
  <c r="S33" i="180"/>
  <c r="Q34" i="53"/>
  <c r="S31" i="53"/>
  <c r="R31" i="63"/>
  <c r="T30" i="63"/>
  <c r="Q26" i="23"/>
  <c r="S24" i="23"/>
  <c r="R23" i="75"/>
  <c r="T22" i="75"/>
  <c r="S52" i="184"/>
  <c r="F34" i="216"/>
  <c r="H32" i="216"/>
  <c r="I63" i="214"/>
  <c r="H47" i="216"/>
  <c r="V53" i="210"/>
  <c r="U84" i="210"/>
  <c r="O28" i="44"/>
  <c r="Q40" i="171"/>
  <c r="F55" i="216"/>
  <c r="H55" i="216" s="1"/>
  <c r="R43" i="37"/>
  <c r="R50" i="169"/>
  <c r="T50" i="169" s="1"/>
  <c r="Q48" i="180"/>
  <c r="H51" i="125"/>
  <c r="J51" i="125" s="1"/>
  <c r="P31" i="46"/>
  <c r="P37" i="46"/>
  <c r="O34" i="174"/>
  <c r="Q24" i="177"/>
  <c r="S24" i="177" s="1"/>
  <c r="Q20" i="23"/>
  <c r="S20" i="23" s="1"/>
  <c r="Q62" i="181"/>
  <c r="S62" i="181" s="1"/>
  <c r="Q51" i="181"/>
  <c r="S51" i="181" s="1"/>
  <c r="O23" i="126"/>
  <c r="R42" i="35"/>
  <c r="T42" i="35" s="1"/>
  <c r="R29" i="35"/>
  <c r="R18" i="35"/>
  <c r="T18" i="35" s="1"/>
  <c r="R44" i="168"/>
  <c r="R35" i="168"/>
  <c r="T35" i="168" s="1"/>
  <c r="R34" i="168"/>
  <c r="T34" i="168" s="1"/>
  <c r="R31" i="168"/>
  <c r="T31" i="168" s="1"/>
  <c r="R30" i="168"/>
  <c r="T30" i="168" s="1"/>
  <c r="R9" i="168"/>
  <c r="R28" i="168"/>
  <c r="T28" i="168" s="1"/>
  <c r="R27" i="168"/>
  <c r="T27" i="168" s="1"/>
  <c r="R18" i="168"/>
  <c r="T18" i="168" s="1"/>
  <c r="R15" i="168"/>
  <c r="T15" i="168" s="1"/>
  <c r="R14" i="168"/>
  <c r="T14" i="168" s="1"/>
  <c r="R13" i="168"/>
  <c r="T13" i="168" s="1"/>
  <c r="R27" i="165"/>
  <c r="Q40" i="51"/>
  <c r="S40" i="51" s="1"/>
  <c r="T38" i="31"/>
  <c r="T34" i="31"/>
  <c r="V34" i="31" s="1"/>
  <c r="T32" i="31"/>
  <c r="V32" i="31" s="1"/>
  <c r="T31" i="31"/>
  <c r="V31" i="31" s="1"/>
  <c r="T22" i="31"/>
  <c r="V22" i="31" s="1"/>
  <c r="T21" i="31"/>
  <c r="V21" i="31" s="1"/>
  <c r="T20" i="31"/>
  <c r="V20" i="31" s="1"/>
  <c r="S25" i="114"/>
  <c r="Q37" i="175"/>
  <c r="S37" i="175" s="1"/>
  <c r="Q33" i="175"/>
  <c r="S33" i="175" s="1"/>
  <c r="Q26" i="175"/>
  <c r="S26" i="175" s="1"/>
  <c r="Q25" i="175"/>
  <c r="S25" i="175" s="1"/>
  <c r="Q23" i="175"/>
  <c r="S23" i="175" s="1"/>
  <c r="S39" i="28"/>
  <c r="U39" i="28" s="1"/>
  <c r="S34" i="28"/>
  <c r="U34" i="28" s="1"/>
  <c r="S32" i="28"/>
  <c r="U32" i="28" s="1"/>
  <c r="S22" i="28"/>
  <c r="U22" i="28" s="1"/>
  <c r="S18" i="28"/>
  <c r="U18" i="28" s="1"/>
  <c r="S17" i="28"/>
  <c r="U17" i="28" s="1"/>
  <c r="S16" i="28"/>
  <c r="U16" i="28" s="1"/>
  <c r="R52" i="28"/>
  <c r="R47" i="28"/>
  <c r="R39" i="28"/>
  <c r="R40" i="28" s="1"/>
  <c r="R34" i="28"/>
  <c r="R32" i="28"/>
  <c r="R22" i="28"/>
  <c r="R18" i="28"/>
  <c r="R17" i="28"/>
  <c r="R16" i="28"/>
  <c r="R36" i="25"/>
  <c r="T36" i="25" s="1"/>
  <c r="R51" i="24"/>
  <c r="T51" i="24" s="1"/>
  <c r="R35" i="24"/>
  <c r="T35" i="24" s="1"/>
  <c r="R32" i="24"/>
  <c r="R22" i="24"/>
  <c r="T22" i="24" s="1"/>
  <c r="R17" i="24"/>
  <c r="T37" i="213"/>
  <c r="V37" i="213" s="1"/>
  <c r="T29" i="213"/>
  <c r="V29" i="213" s="1"/>
  <c r="T25" i="213"/>
  <c r="R39" i="100"/>
  <c r="T39" i="100" s="1"/>
  <c r="R32" i="100"/>
  <c r="T32" i="100" s="1"/>
  <c r="P55" i="59"/>
  <c r="P36" i="59"/>
  <c r="R47" i="21"/>
  <c r="T47" i="21" s="1"/>
  <c r="R44" i="21"/>
  <c r="T44" i="21" s="1"/>
  <c r="R37" i="21"/>
  <c r="R32" i="21"/>
  <c r="R22" i="21"/>
  <c r="T22" i="21" s="1"/>
  <c r="R17" i="21"/>
  <c r="Q37" i="19"/>
  <c r="S37" i="19" s="1"/>
  <c r="Q32" i="19"/>
  <c r="S32" i="19" s="1"/>
  <c r="Q21" i="19"/>
  <c r="S21" i="19" s="1"/>
  <c r="Q18" i="19"/>
  <c r="S18" i="19" s="1"/>
  <c r="Q38" i="18"/>
  <c r="S38" i="18" s="1"/>
  <c r="Q23" i="18"/>
  <c r="S23" i="18" s="1"/>
  <c r="Q51" i="17"/>
  <c r="S51" i="17" s="1"/>
  <c r="N27" i="91"/>
  <c r="P27" i="91" s="1"/>
  <c r="Q63" i="181" l="1"/>
  <c r="S63" i="181" s="1"/>
  <c r="N28" i="91"/>
  <c r="P28" i="91" s="1"/>
  <c r="R27" i="21"/>
  <c r="T17" i="21"/>
  <c r="R36" i="100"/>
  <c r="T36" i="100" s="1"/>
  <c r="R37" i="25"/>
  <c r="T37" i="25" s="1"/>
  <c r="S26" i="114"/>
  <c r="U26" i="114" s="1"/>
  <c r="U25" i="114"/>
  <c r="Q40" i="18"/>
  <c r="S40" i="18" s="1"/>
  <c r="Q39" i="19"/>
  <c r="S39" i="19" s="1"/>
  <c r="R39" i="21"/>
  <c r="T37" i="21"/>
  <c r="R55" i="59"/>
  <c r="R41" i="100"/>
  <c r="T41" i="100" s="1"/>
  <c r="R30" i="24"/>
  <c r="T17" i="24"/>
  <c r="R36" i="24"/>
  <c r="T32" i="24"/>
  <c r="Q39" i="175"/>
  <c r="S39" i="175" s="1"/>
  <c r="T40" i="31"/>
  <c r="V38" i="31"/>
  <c r="R29" i="165"/>
  <c r="T29" i="165" s="1"/>
  <c r="T27" i="165"/>
  <c r="T44" i="168"/>
  <c r="R30" i="35"/>
  <c r="T29" i="35"/>
  <c r="Q37" i="181"/>
  <c r="S37" i="181" s="1"/>
  <c r="R37" i="46"/>
  <c r="Q28" i="44"/>
  <c r="R34" i="181"/>
  <c r="S34" i="181" s="1"/>
  <c r="V84" i="210"/>
  <c r="Q28" i="18"/>
  <c r="S28" i="18" s="1"/>
  <c r="Q34" i="19"/>
  <c r="S34" i="19" s="1"/>
  <c r="R34" i="21"/>
  <c r="R48" i="21" s="1"/>
  <c r="T32" i="21"/>
  <c r="P41" i="59"/>
  <c r="R36" i="59"/>
  <c r="V25" i="213"/>
  <c r="S40" i="28"/>
  <c r="U40" i="28" s="1"/>
  <c r="Q34" i="175"/>
  <c r="S34" i="175" s="1"/>
  <c r="R10" i="168"/>
  <c r="T9" i="168"/>
  <c r="Q23" i="126"/>
  <c r="Q34" i="174"/>
  <c r="R31" i="46"/>
  <c r="Q48" i="181"/>
  <c r="S48" i="181" s="1"/>
  <c r="S48" i="180"/>
  <c r="Q35" i="181"/>
  <c r="S35" i="181" s="1"/>
  <c r="T43" i="37"/>
  <c r="S40" i="171"/>
  <c r="H34" i="216"/>
  <c r="T23" i="75"/>
  <c r="S26" i="23"/>
  <c r="T31" i="63"/>
  <c r="S34" i="53"/>
  <c r="Q51" i="44"/>
  <c r="P66" i="44"/>
  <c r="H42" i="216"/>
  <c r="S31" i="23"/>
  <c r="T35" i="63"/>
  <c r="Q29" i="174"/>
  <c r="S40" i="53"/>
  <c r="S34" i="171"/>
  <c r="S29" i="180"/>
  <c r="T27" i="40"/>
  <c r="U40" i="38"/>
  <c r="Q36" i="44"/>
  <c r="T33" i="170"/>
  <c r="U35" i="38"/>
  <c r="O66" i="44"/>
  <c r="Q44" i="181" s="1"/>
  <c r="R32" i="168"/>
  <c r="Q42" i="23"/>
  <c r="R46" i="165"/>
  <c r="Q49" i="177"/>
  <c r="S37" i="114"/>
  <c r="J10" i="214"/>
  <c r="Q50" i="18"/>
  <c r="S50" i="18" s="1"/>
  <c r="R48" i="25"/>
  <c r="T48" i="25" s="1"/>
  <c r="Q28" i="175"/>
  <c r="Q6" i="214"/>
  <c r="Q55" i="17"/>
  <c r="S55" i="17" s="1"/>
  <c r="Q4" i="214"/>
  <c r="N34" i="91"/>
  <c r="P34" i="91" s="1"/>
  <c r="T38" i="213"/>
  <c r="V38" i="213" s="1"/>
  <c r="O48" i="126"/>
  <c r="Q27" i="19"/>
  <c r="S27" i="19" s="1"/>
  <c r="R37" i="168"/>
  <c r="T35" i="31"/>
  <c r="S27" i="28"/>
  <c r="U27" i="28" s="1"/>
  <c r="S36" i="28"/>
  <c r="U36" i="28" s="1"/>
  <c r="Q7" i="181"/>
  <c r="S7" i="181" s="1"/>
  <c r="R27" i="28"/>
  <c r="R36" i="28"/>
  <c r="Q4" i="181"/>
  <c r="S4" i="181" s="1"/>
  <c r="F64" i="227"/>
  <c r="E64" i="227"/>
  <c r="D64" i="227"/>
  <c r="C64" i="227"/>
  <c r="H63" i="227"/>
  <c r="G63" i="227"/>
  <c r="H62" i="227"/>
  <c r="G62" i="227"/>
  <c r="H61" i="227"/>
  <c r="G61" i="227"/>
  <c r="H60" i="227"/>
  <c r="G60" i="227"/>
  <c r="H59" i="227"/>
  <c r="G59" i="227"/>
  <c r="H58" i="227"/>
  <c r="G58" i="227"/>
  <c r="H57" i="227"/>
  <c r="G57" i="227"/>
  <c r="H56" i="227"/>
  <c r="G56" i="227"/>
  <c r="H55" i="227"/>
  <c r="G55" i="227"/>
  <c r="H54" i="227"/>
  <c r="G54" i="227"/>
  <c r="H53" i="227"/>
  <c r="G53" i="227"/>
  <c r="H52" i="227"/>
  <c r="G52" i="227"/>
  <c r="H51" i="227"/>
  <c r="G51" i="227"/>
  <c r="H50" i="227"/>
  <c r="G50" i="227"/>
  <c r="H49" i="227"/>
  <c r="G49" i="227"/>
  <c r="H48" i="227"/>
  <c r="G48" i="227"/>
  <c r="H47" i="227"/>
  <c r="G47" i="227"/>
  <c r="H46" i="227"/>
  <c r="G46" i="227"/>
  <c r="H45" i="227"/>
  <c r="G45" i="227"/>
  <c r="H44" i="227"/>
  <c r="G44" i="227"/>
  <c r="H43" i="227"/>
  <c r="G43" i="227"/>
  <c r="H42" i="227"/>
  <c r="G42" i="227"/>
  <c r="H41" i="227"/>
  <c r="G41" i="227"/>
  <c r="H40" i="227"/>
  <c r="G40" i="227"/>
  <c r="H39" i="227"/>
  <c r="G39" i="227"/>
  <c r="H38" i="227"/>
  <c r="G38" i="227"/>
  <c r="H37" i="227"/>
  <c r="G37" i="227"/>
  <c r="H36" i="227"/>
  <c r="G36" i="227"/>
  <c r="H35" i="227"/>
  <c r="G35" i="227"/>
  <c r="H34" i="227"/>
  <c r="G34" i="227"/>
  <c r="H33" i="227"/>
  <c r="G33" i="227"/>
  <c r="H32" i="227"/>
  <c r="G32" i="227"/>
  <c r="H31" i="227"/>
  <c r="G31" i="227"/>
  <c r="H30" i="227"/>
  <c r="G30" i="227"/>
  <c r="H29" i="227"/>
  <c r="G29" i="227"/>
  <c r="H28" i="227"/>
  <c r="G28" i="227"/>
  <c r="H27" i="227"/>
  <c r="G27" i="227"/>
  <c r="H26" i="227"/>
  <c r="G26" i="227"/>
  <c r="H25" i="227"/>
  <c r="G25" i="227"/>
  <c r="H24" i="227"/>
  <c r="G24" i="227"/>
  <c r="H23" i="227"/>
  <c r="G23" i="227"/>
  <c r="H22" i="227"/>
  <c r="G22" i="227"/>
  <c r="H21" i="227"/>
  <c r="G21" i="227"/>
  <c r="H20" i="227"/>
  <c r="G20" i="227"/>
  <c r="H19" i="227"/>
  <c r="G19" i="227"/>
  <c r="H18" i="227"/>
  <c r="G18" i="227"/>
  <c r="H17" i="227"/>
  <c r="G17" i="227"/>
  <c r="H16" i="227"/>
  <c r="G16" i="227"/>
  <c r="H15" i="227"/>
  <c r="G15" i="227"/>
  <c r="H14" i="227"/>
  <c r="G14" i="227"/>
  <c r="H13" i="227"/>
  <c r="G13" i="227"/>
  <c r="H12" i="227"/>
  <c r="G12" i="227"/>
  <c r="H11" i="227"/>
  <c r="G11" i="227"/>
  <c r="H10" i="227"/>
  <c r="G10" i="227"/>
  <c r="H9" i="227"/>
  <c r="G9" i="227"/>
  <c r="H8" i="227"/>
  <c r="G8" i="227"/>
  <c r="H7" i="227"/>
  <c r="G7" i="227"/>
  <c r="H6" i="227"/>
  <c r="G6" i="227"/>
  <c r="H5" i="227"/>
  <c r="G5" i="227"/>
  <c r="H4" i="227"/>
  <c r="G4" i="227"/>
  <c r="H3" i="227"/>
  <c r="G3" i="227"/>
  <c r="H2" i="227"/>
  <c r="G2" i="227"/>
  <c r="Q15" i="181" l="1"/>
  <c r="S15" i="181" s="1"/>
  <c r="J65" i="214"/>
  <c r="C12" i="197" s="1"/>
  <c r="Q50" i="175"/>
  <c r="S28" i="175"/>
  <c r="L65" i="214"/>
  <c r="C14" i="197" s="1"/>
  <c r="T37" i="168"/>
  <c r="Q58" i="181"/>
  <c r="S58" i="181" s="1"/>
  <c r="Q48" i="126"/>
  <c r="Q8" i="181"/>
  <c r="S8" i="181" s="1"/>
  <c r="Q10" i="181"/>
  <c r="S10" i="181" s="1"/>
  <c r="T48" i="21"/>
  <c r="Q21" i="181"/>
  <c r="S21" i="181" s="1"/>
  <c r="U37" i="114"/>
  <c r="Q66" i="44"/>
  <c r="R44" i="181"/>
  <c r="S44" i="181" s="1"/>
  <c r="V35" i="31"/>
  <c r="Q17" i="181"/>
  <c r="S17" i="181" s="1"/>
  <c r="Q53" i="181"/>
  <c r="S53" i="181" s="1"/>
  <c r="S49" i="177"/>
  <c r="Q30" i="181"/>
  <c r="S30" i="181" s="1"/>
  <c r="T46" i="165"/>
  <c r="Q55" i="181"/>
  <c r="S55" i="181" s="1"/>
  <c r="S42" i="23"/>
  <c r="T32" i="168"/>
  <c r="T10" i="168"/>
  <c r="R41" i="59"/>
  <c r="T34" i="21"/>
  <c r="T30" i="35"/>
  <c r="V40" i="31"/>
  <c r="T36" i="24"/>
  <c r="T30" i="24"/>
  <c r="T39" i="21"/>
  <c r="Q8" i="214"/>
  <c r="T27" i="21"/>
  <c r="R59" i="28"/>
  <c r="Q54" i="19"/>
  <c r="S54" i="19" s="1"/>
  <c r="S59" i="28"/>
  <c r="U59" i="28" s="1"/>
  <c r="P18" i="181"/>
  <c r="G64" i="227"/>
  <c r="H64" i="227"/>
  <c r="C20" i="224"/>
  <c r="D2" i="224" s="1"/>
  <c r="E2" i="224" s="1"/>
  <c r="E19" i="224"/>
  <c r="E18" i="224"/>
  <c r="E17" i="224"/>
  <c r="E16" i="224"/>
  <c r="E15" i="224"/>
  <c r="E14" i="224"/>
  <c r="E13" i="224"/>
  <c r="E12" i="224"/>
  <c r="E11" i="224"/>
  <c r="E10" i="224"/>
  <c r="E9" i="224"/>
  <c r="E8" i="224"/>
  <c r="E7" i="224"/>
  <c r="E6" i="224"/>
  <c r="E5" i="224"/>
  <c r="E4" i="224"/>
  <c r="E3" i="224"/>
  <c r="Q19" i="181" l="1"/>
  <c r="S50" i="175"/>
  <c r="S19" i="181"/>
  <c r="Q18" i="181"/>
  <c r="S18" i="181" s="1"/>
  <c r="Q9" i="181"/>
  <c r="S9" i="181" s="1"/>
  <c r="E20" i="224"/>
  <c r="Q52" i="28" l="1"/>
  <c r="Q13" i="28"/>
  <c r="P11" i="162"/>
  <c r="E80" i="222"/>
  <c r="D78" i="222"/>
  <c r="C78" i="222"/>
  <c r="E77" i="222"/>
  <c r="E76" i="222"/>
  <c r="E75" i="222"/>
  <c r="D74" i="222"/>
  <c r="C74" i="222"/>
  <c r="E71" i="222"/>
  <c r="E70" i="222"/>
  <c r="E69" i="222"/>
  <c r="H68" i="222"/>
  <c r="E68" i="222"/>
  <c r="E67" i="222"/>
  <c r="E66" i="222"/>
  <c r="E65" i="222"/>
  <c r="E64" i="222"/>
  <c r="E63" i="222"/>
  <c r="E62" i="222"/>
  <c r="E61" i="222"/>
  <c r="D59" i="222"/>
  <c r="C59" i="222"/>
  <c r="E58" i="222"/>
  <c r="E57" i="222"/>
  <c r="E56" i="222"/>
  <c r="E55" i="222"/>
  <c r="E54" i="222"/>
  <c r="D51" i="222"/>
  <c r="C51" i="222"/>
  <c r="E50" i="222"/>
  <c r="D46" i="222"/>
  <c r="C46" i="222"/>
  <c r="E45" i="222"/>
  <c r="E44" i="222"/>
  <c r="E43" i="222"/>
  <c r="E42" i="222"/>
  <c r="E41" i="222"/>
  <c r="E40" i="222"/>
  <c r="E39" i="222"/>
  <c r="D37" i="222"/>
  <c r="C37" i="222"/>
  <c r="E36" i="222"/>
  <c r="E35" i="222"/>
  <c r="E34" i="222"/>
  <c r="E33" i="222"/>
  <c r="E32" i="222"/>
  <c r="E31" i="222"/>
  <c r="D29" i="222"/>
  <c r="C29" i="222"/>
  <c r="E28" i="222"/>
  <c r="E27" i="222"/>
  <c r="E26" i="222"/>
  <c r="E25" i="222"/>
  <c r="E24" i="222"/>
  <c r="E23" i="222"/>
  <c r="E22" i="222"/>
  <c r="E21" i="222"/>
  <c r="E20" i="222"/>
  <c r="E19" i="222"/>
  <c r="D17" i="222"/>
  <c r="C17" i="222"/>
  <c r="E16" i="222"/>
  <c r="E15" i="222"/>
  <c r="E14" i="222"/>
  <c r="E13" i="222"/>
  <c r="D11" i="222"/>
  <c r="C11" i="222"/>
  <c r="E10" i="222"/>
  <c r="D8" i="222"/>
  <c r="C8" i="222"/>
  <c r="E7" i="222"/>
  <c r="E6" i="222"/>
  <c r="E5" i="222"/>
  <c r="E2" i="222"/>
  <c r="E37" i="222" l="1"/>
  <c r="E17" i="222"/>
  <c r="E29" i="222"/>
  <c r="E51" i="222"/>
  <c r="E11" i="222"/>
  <c r="E78" i="222"/>
  <c r="E8" i="222"/>
  <c r="E46" i="222"/>
  <c r="E59" i="222"/>
  <c r="E74" i="222"/>
  <c r="C81" i="222"/>
  <c r="C82" i="222" s="1"/>
  <c r="D81" i="222"/>
  <c r="D82" i="222" l="1"/>
  <c r="E81" i="222"/>
  <c r="E82" i="222" l="1"/>
  <c r="H55" i="222"/>
  <c r="R53" i="210" l="1"/>
  <c r="M62" i="44"/>
  <c r="M35" i="63" l="1"/>
  <c r="L35" i="63"/>
  <c r="D35" i="63"/>
  <c r="Q34" i="63"/>
  <c r="Q35" i="63" s="1"/>
  <c r="P34" i="63"/>
  <c r="P35" i="63" s="1"/>
  <c r="O34" i="63"/>
  <c r="O35" i="63" s="1"/>
  <c r="N34" i="63"/>
  <c r="K34" i="63"/>
  <c r="K35" i="63" s="1"/>
  <c r="J34" i="63"/>
  <c r="J35" i="63" s="1"/>
  <c r="I34" i="63"/>
  <c r="I35" i="63" s="1"/>
  <c r="G34" i="63"/>
  <c r="C34" i="63"/>
  <c r="C35" i="63" s="1"/>
  <c r="N33" i="63"/>
  <c r="H33" i="63"/>
  <c r="H32" i="63"/>
  <c r="H38" i="63"/>
  <c r="N35" i="63" l="1"/>
  <c r="G35" i="63"/>
  <c r="P30" i="162" l="1"/>
  <c r="D42" i="221" l="1"/>
  <c r="D35" i="221"/>
  <c r="D29" i="221"/>
  <c r="D23" i="221"/>
  <c r="D9" i="221"/>
  <c r="D43" i="221" l="1"/>
  <c r="R77" i="210" l="1"/>
  <c r="P27" i="75" l="1"/>
  <c r="O27" i="75"/>
  <c r="L27" i="75"/>
  <c r="N26" i="75"/>
  <c r="N25" i="75"/>
  <c r="M25" i="75"/>
  <c r="M27" i="75" s="1"/>
  <c r="N40" i="63"/>
  <c r="N47" i="174"/>
  <c r="N27" i="75" l="1"/>
  <c r="S37" i="31" l="1"/>
  <c r="R72" i="210" l="1"/>
  <c r="R44" i="210"/>
  <c r="R37" i="210"/>
  <c r="R29" i="210"/>
  <c r="R5" i="210"/>
  <c r="R84" i="210" l="1"/>
  <c r="J25" i="181"/>
  <c r="I25" i="181"/>
  <c r="H25" i="181"/>
  <c r="F25" i="181"/>
  <c r="E25" i="181"/>
  <c r="D25" i="181"/>
  <c r="O33" i="51" l="1"/>
  <c r="N33" i="51"/>
  <c r="L33" i="51"/>
  <c r="K33" i="51"/>
  <c r="M31" i="51"/>
  <c r="M33" i="51" s="1"/>
  <c r="S37" i="213"/>
  <c r="P43" i="169"/>
  <c r="L24" i="92" l="1"/>
  <c r="I23" i="92"/>
  <c r="O50" i="19" l="1"/>
  <c r="L21" i="1" l="1"/>
  <c r="L7" i="1"/>
  <c r="E47" i="216"/>
  <c r="E41" i="216"/>
  <c r="E32" i="216"/>
  <c r="E34" i="216" s="1"/>
  <c r="E20" i="216"/>
  <c r="E27" i="216" s="1"/>
  <c r="R46" i="208"/>
  <c r="N26" i="126"/>
  <c r="N29" i="126" s="1"/>
  <c r="N18" i="126"/>
  <c r="N15" i="126"/>
  <c r="G29" i="125"/>
  <c r="G32" i="125" s="1"/>
  <c r="G16" i="125"/>
  <c r="G15" i="125"/>
  <c r="Q22" i="75"/>
  <c r="Q23" i="75" s="1"/>
  <c r="Q10" i="75"/>
  <c r="P30" i="23"/>
  <c r="P31" i="23" s="1"/>
  <c r="P24" i="23"/>
  <c r="P26" i="23" s="1"/>
  <c r="P15" i="23"/>
  <c r="P12" i="23"/>
  <c r="P11" i="23"/>
  <c r="Q30" i="63"/>
  <c r="Q19" i="63"/>
  <c r="Q11" i="63"/>
  <c r="P17" i="177"/>
  <c r="N33" i="174"/>
  <c r="N32" i="174"/>
  <c r="N27" i="174"/>
  <c r="N17" i="174"/>
  <c r="P19" i="172"/>
  <c r="P12" i="172"/>
  <c r="P40" i="51"/>
  <c r="P39" i="53"/>
  <c r="P40" i="53" s="1"/>
  <c r="P31" i="53"/>
  <c r="P22" i="53"/>
  <c r="P21" i="53"/>
  <c r="P39" i="171"/>
  <c r="P38" i="171"/>
  <c r="P33" i="171"/>
  <c r="P34" i="171" s="1"/>
  <c r="P20" i="171"/>
  <c r="P14" i="171"/>
  <c r="P33" i="180"/>
  <c r="P28" i="180"/>
  <c r="O36" i="46"/>
  <c r="O35" i="46"/>
  <c r="O30" i="46"/>
  <c r="O29" i="46"/>
  <c r="O19" i="46"/>
  <c r="O16" i="46"/>
  <c r="O15" i="46"/>
  <c r="N39" i="44"/>
  <c r="N41" i="44" s="1"/>
  <c r="N33" i="44"/>
  <c r="N16" i="44"/>
  <c r="N12" i="44"/>
  <c r="F41" i="189"/>
  <c r="F45" i="189" s="1"/>
  <c r="P43" i="181" s="1"/>
  <c r="F41" i="200"/>
  <c r="O32" i="178"/>
  <c r="P32" i="178" s="1"/>
  <c r="O24" i="178"/>
  <c r="O12" i="178"/>
  <c r="Q31" i="170"/>
  <c r="Q19" i="40"/>
  <c r="Q26" i="169"/>
  <c r="Q27" i="169" s="1"/>
  <c r="Q17" i="169"/>
  <c r="R39" i="38"/>
  <c r="R34" i="38"/>
  <c r="R20" i="38"/>
  <c r="Q27" i="37"/>
  <c r="Q17" i="37"/>
  <c r="Q12" i="37"/>
  <c r="Q29" i="35"/>
  <c r="Q18" i="35"/>
  <c r="Q44" i="168"/>
  <c r="Q35" i="168"/>
  <c r="Q34" i="168"/>
  <c r="Q31" i="168"/>
  <c r="Q30" i="168"/>
  <c r="Q9" i="168"/>
  <c r="Q28" i="168"/>
  <c r="Q27" i="168"/>
  <c r="Q18" i="168"/>
  <c r="Q15" i="168"/>
  <c r="Q14" i="168"/>
  <c r="Q13" i="168"/>
  <c r="Q27" i="165"/>
  <c r="S38" i="31"/>
  <c r="S34" i="31"/>
  <c r="S32" i="31"/>
  <c r="S31" i="31"/>
  <c r="S22" i="31"/>
  <c r="S21" i="31"/>
  <c r="S20" i="31"/>
  <c r="R25" i="114"/>
  <c r="P37" i="175"/>
  <c r="P39" i="175" s="1"/>
  <c r="P33" i="175"/>
  <c r="P26" i="175"/>
  <c r="P25" i="175"/>
  <c r="P23" i="175"/>
  <c r="P20" i="175"/>
  <c r="Q46" i="28"/>
  <c r="Q39" i="28"/>
  <c r="Q34" i="28"/>
  <c r="Q32" i="28"/>
  <c r="Q22" i="28"/>
  <c r="Q18" i="28"/>
  <c r="Q17" i="28"/>
  <c r="Q16" i="28"/>
  <c r="Q36" i="25"/>
  <c r="Q37" i="25" s="1"/>
  <c r="Q32" i="25"/>
  <c r="Q35" i="24"/>
  <c r="Q32" i="24"/>
  <c r="Q22" i="24"/>
  <c r="Q17" i="24"/>
  <c r="S25" i="213"/>
  <c r="Q46" i="212"/>
  <c r="G44" i="185"/>
  <c r="Q39" i="100"/>
  <c r="Q41" i="100" s="1"/>
  <c r="Q32" i="100"/>
  <c r="Q36" i="100" s="1"/>
  <c r="O55" i="59"/>
  <c r="O36" i="59"/>
  <c r="O41" i="59" s="1"/>
  <c r="Q37" i="21"/>
  <c r="Q36" i="21"/>
  <c r="Q32" i="21"/>
  <c r="Q31" i="21"/>
  <c r="Q23" i="21"/>
  <c r="Q22" i="21"/>
  <c r="Q17" i="21"/>
  <c r="P37" i="19"/>
  <c r="P36" i="19"/>
  <c r="P32" i="19"/>
  <c r="P34" i="19" s="1"/>
  <c r="P22" i="19"/>
  <c r="P21" i="19"/>
  <c r="P18" i="19"/>
  <c r="P38" i="18"/>
  <c r="P23" i="18"/>
  <c r="P31" i="16"/>
  <c r="P33" i="16" s="1"/>
  <c r="P47" i="16" s="1"/>
  <c r="P7" i="181" s="1"/>
  <c r="Q48" i="83"/>
  <c r="Q23" i="83"/>
  <c r="Q28" i="83" s="1"/>
  <c r="M27" i="91"/>
  <c r="D2" i="214" l="1"/>
  <c r="N7" i="1"/>
  <c r="P36" i="178"/>
  <c r="Q32" i="178"/>
  <c r="O37" i="46"/>
  <c r="D3" i="214"/>
  <c r="Q3" i="214" s="1"/>
  <c r="N21" i="1"/>
  <c r="Q52" i="83"/>
  <c r="Q30" i="24"/>
  <c r="N28" i="44"/>
  <c r="P26" i="172"/>
  <c r="Q10" i="168"/>
  <c r="O31" i="46"/>
  <c r="Q33" i="25"/>
  <c r="Q48" i="25" s="1"/>
  <c r="P17" i="181" s="1"/>
  <c r="R26" i="114"/>
  <c r="S40" i="31"/>
  <c r="Q24" i="37"/>
  <c r="R40" i="38"/>
  <c r="P40" i="18"/>
  <c r="Q39" i="21"/>
  <c r="P28" i="175"/>
  <c r="P34" i="175"/>
  <c r="S35" i="31"/>
  <c r="Q30" i="35"/>
  <c r="Q33" i="170"/>
  <c r="O36" i="178"/>
  <c r="N36" i="44"/>
  <c r="P34" i="180"/>
  <c r="P40" i="171"/>
  <c r="P34" i="53"/>
  <c r="Q17" i="75"/>
  <c r="Q27" i="21"/>
  <c r="Q32" i="168"/>
  <c r="Q30" i="37"/>
  <c r="Q43" i="37" s="1"/>
  <c r="P35" i="181" s="1"/>
  <c r="P24" i="177"/>
  <c r="P49" i="177" s="1"/>
  <c r="P53" i="181" s="1"/>
  <c r="Q31" i="63"/>
  <c r="E42" i="216"/>
  <c r="Q29" i="165"/>
  <c r="Q46" i="165" s="1"/>
  <c r="P30" i="181" s="1"/>
  <c r="P29" i="180"/>
  <c r="P51" i="172"/>
  <c r="P51" i="181" s="1"/>
  <c r="N34" i="174"/>
  <c r="P20" i="23"/>
  <c r="M28" i="91"/>
  <c r="M34" i="91" s="1"/>
  <c r="P28" i="18"/>
  <c r="P27" i="19"/>
  <c r="P39" i="19"/>
  <c r="Q34" i="21"/>
  <c r="S38" i="213"/>
  <c r="P15" i="181" s="1"/>
  <c r="Q36" i="24"/>
  <c r="Q37" i="168"/>
  <c r="Q22" i="169"/>
  <c r="Q27" i="40"/>
  <c r="N23" i="126"/>
  <c r="N48" i="126" s="1"/>
  <c r="P58" i="181" s="1"/>
  <c r="R50" i="208"/>
  <c r="P62" i="181" s="1"/>
  <c r="Q2" i="181"/>
  <c r="S2" i="181" s="1"/>
  <c r="Q3" i="181"/>
  <c r="S3" i="181" s="1"/>
  <c r="G48" i="185"/>
  <c r="Q27" i="28"/>
  <c r="Q36" i="28"/>
  <c r="Q47" i="28"/>
  <c r="Q40" i="28"/>
  <c r="Q2" i="214" l="1"/>
  <c r="Q36" i="178"/>
  <c r="R32" i="178"/>
  <c r="P50" i="175"/>
  <c r="P19" i="181" s="1"/>
  <c r="P48" i="180"/>
  <c r="E55" i="216"/>
  <c r="P63" i="181" s="1"/>
  <c r="N66" i="44"/>
  <c r="P44" i="181" s="1"/>
  <c r="P50" i="18"/>
  <c r="P8" i="181" s="1"/>
  <c r="Q50" i="169"/>
  <c r="P37" i="181" s="1"/>
  <c r="P54" i="19"/>
  <c r="P9" i="181" s="1"/>
  <c r="P48" i="181"/>
  <c r="P42" i="23"/>
  <c r="P55" i="181" s="1"/>
  <c r="P13" i="181"/>
  <c r="Q48" i="21"/>
  <c r="P10" i="181" s="1"/>
  <c r="Q59" i="28"/>
  <c r="G41" i="214" l="1"/>
  <c r="R36" i="178"/>
  <c r="P4" i="181"/>
  <c r="D80" i="217" l="1"/>
  <c r="C80" i="217"/>
  <c r="E79" i="217"/>
  <c r="E78" i="217"/>
  <c r="E77" i="217"/>
  <c r="E76" i="217"/>
  <c r="E75" i="217"/>
  <c r="D74" i="217"/>
  <c r="C74" i="217"/>
  <c r="E73" i="217"/>
  <c r="E72" i="217"/>
  <c r="E71" i="217"/>
  <c r="D70" i="217"/>
  <c r="C70" i="217"/>
  <c r="E69" i="217"/>
  <c r="E68" i="217"/>
  <c r="E67" i="217"/>
  <c r="E66" i="217"/>
  <c r="E65" i="217"/>
  <c r="E64" i="217"/>
  <c r="E63" i="217"/>
  <c r="E62" i="217"/>
  <c r="E61" i="217"/>
  <c r="E60" i="217"/>
  <c r="E59" i="217"/>
  <c r="E58" i="217"/>
  <c r="E57" i="217"/>
  <c r="D56" i="217"/>
  <c r="C56" i="217"/>
  <c r="E55" i="217"/>
  <c r="E54" i="217"/>
  <c r="E53" i="217"/>
  <c r="E52" i="217"/>
  <c r="E51" i="217"/>
  <c r="E50" i="217"/>
  <c r="E49" i="217"/>
  <c r="D48" i="217"/>
  <c r="C48" i="217"/>
  <c r="E47" i="217"/>
  <c r="E46" i="217"/>
  <c r="E45" i="217"/>
  <c r="E44" i="217"/>
  <c r="D43" i="217"/>
  <c r="C43" i="217"/>
  <c r="E42" i="217"/>
  <c r="E41" i="217"/>
  <c r="E40" i="217"/>
  <c r="E39" i="217"/>
  <c r="E38" i="217"/>
  <c r="E37" i="217"/>
  <c r="D36" i="217"/>
  <c r="C36" i="217"/>
  <c r="E34" i="217"/>
  <c r="E33" i="217"/>
  <c r="E32" i="217"/>
  <c r="E31" i="217"/>
  <c r="E30" i="217"/>
  <c r="D29" i="217"/>
  <c r="C29" i="217"/>
  <c r="E28" i="217"/>
  <c r="E27" i="217"/>
  <c r="E26" i="217"/>
  <c r="E25" i="217"/>
  <c r="E24" i="217"/>
  <c r="E23" i="217"/>
  <c r="E22" i="217"/>
  <c r="E21" i="217"/>
  <c r="E20" i="217"/>
  <c r="E19" i="217"/>
  <c r="D18" i="217"/>
  <c r="C18" i="217"/>
  <c r="E17" i="217"/>
  <c r="E16" i="217"/>
  <c r="E15" i="217"/>
  <c r="E14" i="217"/>
  <c r="E13" i="217"/>
  <c r="D12" i="217"/>
  <c r="C12" i="217"/>
  <c r="E11" i="217"/>
  <c r="E10" i="217"/>
  <c r="D9" i="217"/>
  <c r="C9" i="217"/>
  <c r="E8" i="217"/>
  <c r="E7" i="217"/>
  <c r="E6" i="217"/>
  <c r="E3" i="217"/>
  <c r="E9" i="217" l="1"/>
  <c r="E12" i="217"/>
  <c r="E36" i="217"/>
  <c r="E43" i="217"/>
  <c r="E48" i="217"/>
  <c r="E70" i="217"/>
  <c r="C81" i="217"/>
  <c r="E18" i="217"/>
  <c r="E29" i="217"/>
  <c r="E56" i="217"/>
  <c r="E74" i="217"/>
  <c r="D81" i="217"/>
  <c r="E80" i="217"/>
  <c r="E81" i="217" l="1"/>
  <c r="D47" i="216"/>
  <c r="D9" i="216"/>
  <c r="P46" i="208"/>
  <c r="P43" i="208"/>
  <c r="P34" i="208"/>
  <c r="P29" i="208"/>
  <c r="P23" i="208"/>
  <c r="P8" i="208"/>
  <c r="E36" i="198"/>
  <c r="E31" i="198"/>
  <c r="E7" i="198"/>
  <c r="E51" i="182"/>
  <c r="E48" i="182"/>
  <c r="E8" i="182"/>
  <c r="O49" i="184"/>
  <c r="O12" i="184"/>
  <c r="M34" i="126"/>
  <c r="M9" i="126"/>
  <c r="F44" i="125"/>
  <c r="F9" i="125"/>
  <c r="P34" i="75"/>
  <c r="O8" i="23"/>
  <c r="P8" i="63"/>
  <c r="O45" i="177"/>
  <c r="O42" i="177"/>
  <c r="O34" i="177"/>
  <c r="O9" i="177"/>
  <c r="M44" i="174"/>
  <c r="M9" i="174"/>
  <c r="O44" i="172"/>
  <c r="O37" i="172"/>
  <c r="O32" i="172"/>
  <c r="O9" i="172"/>
  <c r="O40" i="51"/>
  <c r="O23" i="51"/>
  <c r="O11" i="53"/>
  <c r="O50" i="171"/>
  <c r="O47" i="171"/>
  <c r="O11" i="171"/>
  <c r="O9" i="180"/>
  <c r="N46" i="46"/>
  <c r="N43" i="46"/>
  <c r="N9" i="46"/>
  <c r="M57" i="44"/>
  <c r="M51" i="44"/>
  <c r="M9" i="44"/>
  <c r="E34" i="189"/>
  <c r="E29" i="189"/>
  <c r="E23" i="189"/>
  <c r="E9" i="189"/>
  <c r="E45" i="200"/>
  <c r="E29" i="200"/>
  <c r="E23" i="200"/>
  <c r="E9" i="200"/>
  <c r="N48" i="178"/>
  <c r="P38" i="170"/>
  <c r="P26" i="170"/>
  <c r="P10" i="170"/>
  <c r="P53" i="41"/>
  <c r="P47" i="41"/>
  <c r="P39" i="41"/>
  <c r="P8" i="41"/>
  <c r="P39" i="165"/>
  <c r="P33" i="165"/>
  <c r="P23" i="165"/>
  <c r="P10" i="165"/>
  <c r="P58" i="162"/>
  <c r="P55" i="162"/>
  <c r="P51" i="162"/>
  <c r="P43" i="162"/>
  <c r="P39" i="162"/>
  <c r="N47" i="163"/>
  <c r="N39" i="163"/>
  <c r="N35" i="163"/>
  <c r="N27" i="163"/>
  <c r="N9" i="163"/>
  <c r="L35" i="92"/>
  <c r="L31" i="92"/>
  <c r="L9" i="92"/>
  <c r="R6" i="31"/>
  <c r="P9" i="183"/>
  <c r="Q31" i="114"/>
  <c r="Q10" i="114"/>
  <c r="P42" i="116"/>
  <c r="P38" i="116"/>
  <c r="P33" i="116"/>
  <c r="P26" i="116"/>
  <c r="P11" i="116"/>
  <c r="O46" i="175"/>
  <c r="O14" i="175"/>
  <c r="P49" i="100"/>
  <c r="P27" i="100"/>
  <c r="N55" i="59"/>
  <c r="N14" i="59"/>
  <c r="P47" i="21"/>
  <c r="P11" i="21"/>
  <c r="O47" i="18"/>
  <c r="O35" i="18"/>
  <c r="O11" i="18"/>
  <c r="O46" i="16"/>
  <c r="O26" i="16"/>
  <c r="O10" i="16"/>
  <c r="O51" i="17"/>
  <c r="O41" i="17"/>
  <c r="O12" i="17"/>
  <c r="P39" i="83"/>
  <c r="P34" i="83"/>
  <c r="P11" i="83"/>
  <c r="L33" i="91"/>
  <c r="L22" i="91"/>
  <c r="L10" i="91"/>
  <c r="P59" i="162" l="1"/>
  <c r="N48" i="163"/>
  <c r="P50" i="208"/>
  <c r="P49" i="116"/>
  <c r="P50" i="168"/>
  <c r="O43" i="208"/>
  <c r="Q29" i="210" l="1"/>
  <c r="P44" i="168" l="1"/>
  <c r="N62" i="178" l="1"/>
  <c r="Q72" i="210" l="1"/>
  <c r="O55" i="171" l="1"/>
  <c r="O15" i="184" l="1"/>
  <c r="O26" i="116"/>
  <c r="P7" i="100" l="1"/>
  <c r="P13" i="100" l="1"/>
  <c r="Q7" i="100"/>
  <c r="P46" i="212"/>
  <c r="Q9" i="100" l="1"/>
  <c r="Q53" i="100" s="1"/>
  <c r="P12" i="181" s="1"/>
  <c r="R7" i="100"/>
  <c r="T7" i="100" s="1"/>
  <c r="Q53" i="210"/>
  <c r="O23" i="208"/>
  <c r="L62" i="44"/>
  <c r="D9" i="189"/>
  <c r="Q44" i="210"/>
  <c r="S9" i="100" l="1"/>
  <c r="R9" i="100"/>
  <c r="T9" i="100" l="1"/>
  <c r="D12" i="214"/>
  <c r="S53" i="100"/>
  <c r="R53" i="100"/>
  <c r="N63" i="181"/>
  <c r="D41" i="216"/>
  <c r="D32" i="216"/>
  <c r="D20" i="216"/>
  <c r="T53" i="100" l="1"/>
  <c r="R12" i="181"/>
  <c r="Q12" i="181"/>
  <c r="D27" i="216"/>
  <c r="D42" i="216"/>
  <c r="D34" i="216"/>
  <c r="F26" i="185"/>
  <c r="F8" i="185"/>
  <c r="P46" i="183"/>
  <c r="R29" i="213"/>
  <c r="R25" i="213"/>
  <c r="R19" i="213"/>
  <c r="K7" i="1"/>
  <c r="P2" i="181" s="1"/>
  <c r="S12" i="181" l="1"/>
  <c r="O2" i="181"/>
  <c r="D55" i="216"/>
  <c r="O63" i="181" l="1"/>
  <c r="O11" i="162"/>
  <c r="O34" i="75" l="1"/>
  <c r="O22" i="75"/>
  <c r="O10" i="75"/>
  <c r="O17" i="75" s="1"/>
  <c r="O6" i="75"/>
  <c r="O7" i="75" s="1"/>
  <c r="N41" i="23"/>
  <c r="N30" i="23"/>
  <c r="N31" i="23" s="1"/>
  <c r="N24" i="23"/>
  <c r="N26" i="23" s="1"/>
  <c r="N16" i="23"/>
  <c r="N15" i="23"/>
  <c r="N12" i="23"/>
  <c r="N11" i="23"/>
  <c r="N8" i="23"/>
  <c r="E44" i="125"/>
  <c r="E34" i="125"/>
  <c r="E36" i="125" s="1"/>
  <c r="E29" i="125"/>
  <c r="E32" i="125" s="1"/>
  <c r="E16" i="125"/>
  <c r="E15" i="125"/>
  <c r="E9" i="125"/>
  <c r="L41" i="126"/>
  <c r="L34" i="126"/>
  <c r="L26" i="126"/>
  <c r="L29" i="126" s="1"/>
  <c r="L19" i="126"/>
  <c r="L18" i="126"/>
  <c r="L15" i="126"/>
  <c r="L12" i="126"/>
  <c r="L9" i="126"/>
  <c r="N52" i="184"/>
  <c r="N49" i="184"/>
  <c r="N38" i="184"/>
  <c r="N35" i="184"/>
  <c r="N34" i="184"/>
  <c r="N33" i="184"/>
  <c r="N32" i="184"/>
  <c r="N23" i="184"/>
  <c r="N22" i="184"/>
  <c r="N21" i="184"/>
  <c r="N20" i="184"/>
  <c r="N18" i="184"/>
  <c r="N17" i="184"/>
  <c r="N12" i="184"/>
  <c r="D51" i="182"/>
  <c r="D48" i="182"/>
  <c r="D40" i="182"/>
  <c r="D39" i="182"/>
  <c r="D38" i="182"/>
  <c r="D34" i="182"/>
  <c r="D36" i="182" s="1"/>
  <c r="D21" i="182"/>
  <c r="D20" i="182"/>
  <c r="D19" i="182"/>
  <c r="D14" i="182"/>
  <c r="D8" i="182"/>
  <c r="D36" i="198"/>
  <c r="D31" i="198"/>
  <c r="D22" i="198"/>
  <c r="D7" i="198"/>
  <c r="O34" i="208"/>
  <c r="O29" i="208"/>
  <c r="O8" i="208"/>
  <c r="O41" i="63"/>
  <c r="O30" i="63"/>
  <c r="O19" i="63"/>
  <c r="O11" i="63"/>
  <c r="O8" i="63"/>
  <c r="N42" i="177"/>
  <c r="N34" i="177"/>
  <c r="N29" i="177"/>
  <c r="N28" i="177"/>
  <c r="N26" i="177"/>
  <c r="N17" i="177"/>
  <c r="N13" i="177"/>
  <c r="N9" i="177"/>
  <c r="L33" i="174"/>
  <c r="L32" i="174"/>
  <c r="L27" i="174"/>
  <c r="L17" i="174"/>
  <c r="L9" i="174"/>
  <c r="N37" i="172"/>
  <c r="N44" i="172"/>
  <c r="N32" i="172"/>
  <c r="N20" i="172"/>
  <c r="N19" i="172"/>
  <c r="N12" i="172"/>
  <c r="N8" i="172"/>
  <c r="N9" i="172" s="1"/>
  <c r="N40" i="51"/>
  <c r="N23" i="51"/>
  <c r="N7" i="51"/>
  <c r="N8" i="51" s="1"/>
  <c r="N47" i="53"/>
  <c r="N39" i="53"/>
  <c r="N40" i="53" s="1"/>
  <c r="N31" i="53"/>
  <c r="N29" i="53"/>
  <c r="N22" i="53"/>
  <c r="N21" i="53"/>
  <c r="N14" i="53"/>
  <c r="N11" i="53"/>
  <c r="N55" i="171"/>
  <c r="N50" i="171"/>
  <c r="N47" i="171"/>
  <c r="N39" i="171"/>
  <c r="N38" i="171"/>
  <c r="N33" i="171"/>
  <c r="N34" i="171" s="1"/>
  <c r="N20" i="171"/>
  <c r="N14" i="171"/>
  <c r="N11" i="171"/>
  <c r="O28" i="180"/>
  <c r="O33" i="180"/>
  <c r="O41" i="180"/>
  <c r="O44" i="180"/>
  <c r="N44" i="180"/>
  <c r="N41" i="180"/>
  <c r="N33" i="180"/>
  <c r="N34" i="180" s="1"/>
  <c r="N28" i="180"/>
  <c r="N29" i="180" s="1"/>
  <c r="N8" i="180"/>
  <c r="N9" i="180" s="1"/>
  <c r="M46" i="46"/>
  <c r="M43" i="46"/>
  <c r="M36" i="46"/>
  <c r="M35" i="46"/>
  <c r="M33" i="46"/>
  <c r="M30" i="46"/>
  <c r="M29" i="46"/>
  <c r="M20" i="46"/>
  <c r="M19" i="46"/>
  <c r="M16" i="46"/>
  <c r="M15" i="46"/>
  <c r="M13" i="46"/>
  <c r="M12" i="46"/>
  <c r="L53" i="44"/>
  <c r="L57" i="44" s="1"/>
  <c r="L51" i="44"/>
  <c r="L39" i="44"/>
  <c r="L41" i="44" s="1"/>
  <c r="L34" i="44"/>
  <c r="L33" i="44"/>
  <c r="L16" i="44"/>
  <c r="L12" i="44"/>
  <c r="L9" i="44"/>
  <c r="D41" i="189"/>
  <c r="D34" i="189"/>
  <c r="D29" i="189"/>
  <c r="D23" i="189"/>
  <c r="D45" i="200"/>
  <c r="D41" i="200"/>
  <c r="D32" i="200"/>
  <c r="D31" i="200"/>
  <c r="D29" i="200"/>
  <c r="D23" i="200"/>
  <c r="D9" i="200"/>
  <c r="M62" i="178"/>
  <c r="M48" i="178"/>
  <c r="M41" i="178"/>
  <c r="M40" i="178"/>
  <c r="M32" i="178"/>
  <c r="M30" i="178"/>
  <c r="M24" i="178"/>
  <c r="M12" i="178"/>
  <c r="M8" i="178"/>
  <c r="M9" i="178" s="1"/>
  <c r="P31" i="170"/>
  <c r="P50" i="41"/>
  <c r="P39" i="40"/>
  <c r="P34" i="40"/>
  <c r="P19" i="40"/>
  <c r="P32" i="169"/>
  <c r="P26" i="169"/>
  <c r="P17" i="169"/>
  <c r="Q46" i="38"/>
  <c r="Q39" i="38"/>
  <c r="Q34" i="38"/>
  <c r="Q20" i="38"/>
  <c r="Q9" i="38"/>
  <c r="P42" i="37"/>
  <c r="P39" i="37"/>
  <c r="P32" i="37"/>
  <c r="P27" i="37"/>
  <c r="P18" i="37"/>
  <c r="P17" i="37"/>
  <c r="P12" i="37"/>
  <c r="P8" i="37"/>
  <c r="P59" i="176"/>
  <c r="P54" i="176"/>
  <c r="P44" i="176"/>
  <c r="P13" i="176"/>
  <c r="P42" i="35"/>
  <c r="P35" i="35"/>
  <c r="P29" i="35"/>
  <c r="P18" i="35"/>
  <c r="P8" i="35"/>
  <c r="P35" i="168"/>
  <c r="P34" i="168"/>
  <c r="P31" i="168"/>
  <c r="P30" i="168"/>
  <c r="P9" i="168"/>
  <c r="P28" i="168"/>
  <c r="P27" i="168"/>
  <c r="P22" i="168"/>
  <c r="P18" i="168"/>
  <c r="P15" i="168"/>
  <c r="P14" i="168"/>
  <c r="P13" i="168"/>
  <c r="P7" i="168"/>
  <c r="P42" i="165"/>
  <c r="P27" i="165"/>
  <c r="L43" i="92"/>
  <c r="R48" i="31"/>
  <c r="R38" i="31"/>
  <c r="R37" i="31"/>
  <c r="R34" i="31"/>
  <c r="R32" i="31"/>
  <c r="R31" i="31"/>
  <c r="R22" i="31"/>
  <c r="R21" i="31"/>
  <c r="R20" i="31"/>
  <c r="P43" i="183"/>
  <c r="Q36" i="114"/>
  <c r="Q25" i="114"/>
  <c r="O37" i="175"/>
  <c r="O36" i="175"/>
  <c r="O33" i="175"/>
  <c r="O26" i="175"/>
  <c r="O25" i="175"/>
  <c r="O23" i="175"/>
  <c r="O20" i="175"/>
  <c r="O17" i="175"/>
  <c r="P46" i="28"/>
  <c r="P39" i="28"/>
  <c r="P34" i="28"/>
  <c r="P32" i="28"/>
  <c r="P22" i="28"/>
  <c r="P18" i="28"/>
  <c r="P17" i="28"/>
  <c r="P16" i="28"/>
  <c r="P47" i="25"/>
  <c r="P44" i="25"/>
  <c r="P36" i="25"/>
  <c r="P35" i="25"/>
  <c r="P32" i="25"/>
  <c r="P14" i="25"/>
  <c r="P41" i="24"/>
  <c r="P35" i="24"/>
  <c r="P34" i="24"/>
  <c r="P32" i="24"/>
  <c r="P25" i="24"/>
  <c r="P22" i="24"/>
  <c r="P17" i="24"/>
  <c r="P16" i="24"/>
  <c r="R8" i="213"/>
  <c r="P7" i="212"/>
  <c r="F44" i="185"/>
  <c r="F37" i="185"/>
  <c r="F33" i="185"/>
  <c r="P39" i="100"/>
  <c r="P32" i="100"/>
  <c r="N36" i="59"/>
  <c r="P37" i="21"/>
  <c r="P36" i="21"/>
  <c r="P32" i="21"/>
  <c r="P31" i="21"/>
  <c r="P23" i="21"/>
  <c r="P22" i="21"/>
  <c r="P17" i="21"/>
  <c r="O44" i="19"/>
  <c r="O37" i="19"/>
  <c r="O36" i="19"/>
  <c r="O32" i="19"/>
  <c r="O22" i="19"/>
  <c r="O21" i="19"/>
  <c r="O18" i="19"/>
  <c r="O38" i="18"/>
  <c r="O23" i="18"/>
  <c r="O35" i="16"/>
  <c r="O31" i="16"/>
  <c r="O30" i="16"/>
  <c r="O17" i="17"/>
  <c r="O35" i="17"/>
  <c r="O34" i="17"/>
  <c r="O23" i="17"/>
  <c r="O18" i="17"/>
  <c r="P48" i="83"/>
  <c r="P45" i="83"/>
  <c r="P23" i="83"/>
  <c r="P22" i="83"/>
  <c r="P18" i="83"/>
  <c r="P17" i="83"/>
  <c r="L27" i="91"/>
  <c r="C4" i="206"/>
  <c r="O41" i="23"/>
  <c r="M41" i="126"/>
  <c r="M25" i="181" l="1"/>
  <c r="N25" i="181"/>
  <c r="L28" i="91"/>
  <c r="L34" i="91" s="1"/>
  <c r="O36" i="17"/>
  <c r="P41" i="100"/>
  <c r="P40" i="28"/>
  <c r="L50" i="92"/>
  <c r="P30" i="37"/>
  <c r="P27" i="169"/>
  <c r="O29" i="180"/>
  <c r="O33" i="16"/>
  <c r="O28" i="18"/>
  <c r="P34" i="21"/>
  <c r="P39" i="21"/>
  <c r="P36" i="100"/>
  <c r="P33" i="25"/>
  <c r="P47" i="28"/>
  <c r="O28" i="175"/>
  <c r="O39" i="175"/>
  <c r="R40" i="31"/>
  <c r="P29" i="165"/>
  <c r="P30" i="35"/>
  <c r="O34" i="180"/>
  <c r="O34" i="19"/>
  <c r="O27" i="19"/>
  <c r="O39" i="19"/>
  <c r="O40" i="18"/>
  <c r="Q26" i="114"/>
  <c r="R35" i="31"/>
  <c r="P33" i="170"/>
  <c r="O50" i="208"/>
  <c r="N62" i="181" s="1"/>
  <c r="O38" i="16"/>
  <c r="P27" i="21"/>
  <c r="O34" i="175"/>
  <c r="P27" i="28"/>
  <c r="N26" i="172"/>
  <c r="N51" i="172" s="1"/>
  <c r="N40" i="171"/>
  <c r="E25" i="125"/>
  <c r="E51" i="125" s="1"/>
  <c r="N57" i="181" s="1"/>
  <c r="P24" i="37"/>
  <c r="L36" i="44"/>
  <c r="R38" i="213"/>
  <c r="N26" i="53"/>
  <c r="D29" i="182"/>
  <c r="P37" i="168"/>
  <c r="M37" i="46"/>
  <c r="N34" i="53"/>
  <c r="N24" i="177"/>
  <c r="N30" i="177"/>
  <c r="N20" i="23"/>
  <c r="N42" i="23" s="1"/>
  <c r="P30" i="24"/>
  <c r="P36" i="24"/>
  <c r="P27" i="25"/>
  <c r="P37" i="25"/>
  <c r="P36" i="28"/>
  <c r="O20" i="181"/>
  <c r="P32" i="168"/>
  <c r="P34" i="37"/>
  <c r="Q40" i="38"/>
  <c r="P22" i="169"/>
  <c r="P27" i="40"/>
  <c r="M36" i="178"/>
  <c r="M42" i="178"/>
  <c r="D34" i="200"/>
  <c r="D52" i="200" s="1"/>
  <c r="L28" i="44"/>
  <c r="D43" i="198"/>
  <c r="D44" i="198" s="1"/>
  <c r="D41" i="182"/>
  <c r="N29" i="184"/>
  <c r="N36" i="184"/>
  <c r="L23" i="126"/>
  <c r="L48" i="126" s="1"/>
  <c r="D45" i="189"/>
  <c r="O62" i="181"/>
  <c r="F48" i="185"/>
  <c r="N51" i="53" l="1"/>
  <c r="N50" i="181" s="1"/>
  <c r="P46" i="165"/>
  <c r="O13" i="181"/>
  <c r="O50" i="175"/>
  <c r="P48" i="21"/>
  <c r="O50" i="18"/>
  <c r="P53" i="100"/>
  <c r="O47" i="16"/>
  <c r="O7" i="181" s="1"/>
  <c r="D55" i="182"/>
  <c r="N60" i="181" s="1"/>
  <c r="L66" i="44"/>
  <c r="M44" i="181" s="1"/>
  <c r="N49" i="177"/>
  <c r="M53" i="181" s="1"/>
  <c r="M57" i="181"/>
  <c r="P48" i="25"/>
  <c r="M43" i="181"/>
  <c r="N43" i="181"/>
  <c r="M51" i="181"/>
  <c r="N51" i="181"/>
  <c r="M58" i="181"/>
  <c r="N58" i="181"/>
  <c r="M55" i="181"/>
  <c r="N55" i="181"/>
  <c r="M42" i="181"/>
  <c r="N42" i="181"/>
  <c r="M61" i="181"/>
  <c r="N61" i="181"/>
  <c r="O15" i="181"/>
  <c r="O26" i="181"/>
  <c r="O24" i="181"/>
  <c r="O34" i="181"/>
  <c r="O29" i="181"/>
  <c r="M50" i="181" l="1"/>
  <c r="O12" i="181"/>
  <c r="O19" i="181"/>
  <c r="O10" i="181"/>
  <c r="M60" i="181"/>
  <c r="O17" i="181"/>
  <c r="N44" i="181"/>
  <c r="N53" i="181"/>
  <c r="O10" i="211"/>
  <c r="O11" i="211"/>
  <c r="O13" i="211"/>
  <c r="O14" i="211"/>
  <c r="O27" i="211"/>
  <c r="O28" i="211"/>
  <c r="O29" i="211"/>
  <c r="O30" i="211"/>
  <c r="O31" i="211"/>
  <c r="O33" i="211"/>
  <c r="O36" i="211"/>
  <c r="O39" i="211"/>
  <c r="O41" i="211"/>
  <c r="O42" i="211"/>
  <c r="O45" i="211"/>
  <c r="O46" i="211"/>
  <c r="O48" i="211"/>
  <c r="O52" i="211"/>
  <c r="O53" i="211"/>
  <c r="O55" i="211"/>
  <c r="O56" i="211"/>
  <c r="Q19" i="213"/>
  <c r="P25" i="213"/>
  <c r="O30" i="162"/>
  <c r="P53" i="210" l="1"/>
  <c r="Q25" i="213"/>
  <c r="O11" i="83"/>
  <c r="J10" i="91"/>
  <c r="Q37" i="210"/>
  <c r="E42" i="198"/>
  <c r="F42" i="198" s="1"/>
  <c r="G42" i="198" s="1"/>
  <c r="H42" i="198" s="1"/>
  <c r="I42" i="198" s="1"/>
  <c r="E41" i="198"/>
  <c r="F41" i="198" s="1"/>
  <c r="E19" i="198"/>
  <c r="F19" i="198" s="1"/>
  <c r="G19" i="198" s="1"/>
  <c r="H19" i="198" s="1"/>
  <c r="I19" i="198" s="1"/>
  <c r="E18" i="198"/>
  <c r="F18" i="198" s="1"/>
  <c r="G18" i="198" s="1"/>
  <c r="H18" i="198" s="1"/>
  <c r="I18" i="198" s="1"/>
  <c r="E17" i="198"/>
  <c r="F17" i="198" s="1"/>
  <c r="G17" i="198" s="1"/>
  <c r="H17" i="198" s="1"/>
  <c r="I17" i="198" l="1"/>
  <c r="G41" i="198"/>
  <c r="F43" i="198"/>
  <c r="E43" i="198"/>
  <c r="Q84" i="210"/>
  <c r="M55" i="59"/>
  <c r="M43" i="59"/>
  <c r="N43" i="59" s="1"/>
  <c r="O43" i="59" s="1"/>
  <c r="M13" i="59"/>
  <c r="N13" i="59" s="1"/>
  <c r="M38" i="59"/>
  <c r="M30" i="59"/>
  <c r="G43" i="198" l="1"/>
  <c r="H41" i="198"/>
  <c r="P43" i="59"/>
  <c r="N41" i="59"/>
  <c r="N34" i="181"/>
  <c r="R43" i="59" l="1"/>
  <c r="I41" i="198"/>
  <c r="H43" i="198"/>
  <c r="I61" i="214" s="1"/>
  <c r="O14" i="170"/>
  <c r="O8" i="41"/>
  <c r="N8" i="41"/>
  <c r="I43" i="198" l="1"/>
  <c r="O43" i="169"/>
  <c r="N43" i="169"/>
  <c r="P44" i="210"/>
  <c r="P37" i="210"/>
  <c r="P29" i="210"/>
  <c r="N50" i="19" l="1"/>
  <c r="O8" i="37"/>
  <c r="O14" i="19" l="1"/>
  <c r="O54" i="19" s="1"/>
  <c r="P39" i="213"/>
  <c r="Q8" i="213"/>
  <c r="P8" i="213"/>
  <c r="P38" i="213" s="1"/>
  <c r="N34" i="213"/>
  <c r="L34" i="213"/>
  <c r="F34" i="213"/>
  <c r="J30" i="213"/>
  <c r="I30" i="213"/>
  <c r="H30" i="213"/>
  <c r="G30" i="213"/>
  <c r="F30" i="213"/>
  <c r="E30" i="213"/>
  <c r="C30" i="213"/>
  <c r="L29" i="213"/>
  <c r="N28" i="213"/>
  <c r="M28" i="213"/>
  <c r="N27" i="213"/>
  <c r="M27" i="213"/>
  <c r="L25" i="213"/>
  <c r="K25" i="213"/>
  <c r="N24" i="213"/>
  <c r="M24" i="213"/>
  <c r="N23" i="213"/>
  <c r="M23" i="213"/>
  <c r="D23" i="213"/>
  <c r="D30" i="213" s="1"/>
  <c r="N22" i="213"/>
  <c r="M22" i="213"/>
  <c r="M21" i="213"/>
  <c r="N21" i="213" s="1"/>
  <c r="J20" i="213"/>
  <c r="I20" i="213"/>
  <c r="H20" i="213"/>
  <c r="G20" i="213"/>
  <c r="F20" i="213"/>
  <c r="E20" i="213"/>
  <c r="D20" i="213"/>
  <c r="C20" i="213"/>
  <c r="K19" i="213"/>
  <c r="M18" i="213"/>
  <c r="L18" i="213"/>
  <c r="L19" i="213" s="1"/>
  <c r="N17" i="213"/>
  <c r="M17" i="213"/>
  <c r="J17" i="213"/>
  <c r="I17" i="213"/>
  <c r="H17" i="213"/>
  <c r="G17" i="213"/>
  <c r="F17" i="213"/>
  <c r="D17" i="213"/>
  <c r="C17" i="213"/>
  <c r="N16" i="213"/>
  <c r="M16" i="213"/>
  <c r="K16" i="213"/>
  <c r="M15" i="213"/>
  <c r="N15" i="213" s="1"/>
  <c r="M14" i="213"/>
  <c r="N13" i="213"/>
  <c r="M13" i="213"/>
  <c r="N12" i="213"/>
  <c r="M12" i="213"/>
  <c r="N11" i="213"/>
  <c r="M11" i="213"/>
  <c r="L8" i="213"/>
  <c r="N7" i="213"/>
  <c r="N8" i="213" s="1"/>
  <c r="K6" i="213"/>
  <c r="J6" i="213"/>
  <c r="M5" i="213"/>
  <c r="G5" i="213"/>
  <c r="K4" i="213"/>
  <c r="J4" i="213"/>
  <c r="O41" i="212"/>
  <c r="O39" i="212"/>
  <c r="O35" i="212"/>
  <c r="P35" i="212" s="1"/>
  <c r="Q35" i="212" s="1"/>
  <c r="Q36" i="212" s="1"/>
  <c r="Q47" i="212" s="1"/>
  <c r="P14" i="181" s="1"/>
  <c r="O25" i="212"/>
  <c r="O31" i="212" s="1"/>
  <c r="O13" i="212"/>
  <c r="O14" i="212"/>
  <c r="O12" i="212"/>
  <c r="O7" i="212"/>
  <c r="N43" i="212"/>
  <c r="N36" i="212"/>
  <c r="L43" i="212"/>
  <c r="K43" i="212"/>
  <c r="M42" i="212"/>
  <c r="M41" i="212"/>
  <c r="L36" i="212"/>
  <c r="K36" i="212"/>
  <c r="M34" i="212"/>
  <c r="M33" i="212"/>
  <c r="L31" i="212"/>
  <c r="M30" i="212"/>
  <c r="M29" i="212"/>
  <c r="M27" i="212"/>
  <c r="N31" i="212"/>
  <c r="M26" i="212"/>
  <c r="M25" i="212"/>
  <c r="L22" i="212"/>
  <c r="K22" i="212"/>
  <c r="M21" i="212"/>
  <c r="M18" i="212"/>
  <c r="M17" i="212"/>
  <c r="M15" i="212"/>
  <c r="M14" i="212"/>
  <c r="M13" i="212"/>
  <c r="J13" i="212"/>
  <c r="H13" i="212"/>
  <c r="G13" i="212"/>
  <c r="F13" i="212"/>
  <c r="E13" i="212"/>
  <c r="D13" i="212"/>
  <c r="C13" i="212"/>
  <c r="N22" i="212"/>
  <c r="M10" i="212"/>
  <c r="M7" i="212"/>
  <c r="K7" i="212"/>
  <c r="I7" i="212"/>
  <c r="I13" i="212" s="1"/>
  <c r="N7" i="212"/>
  <c r="G6" i="212"/>
  <c r="L4" i="212"/>
  <c r="L7" i="212" s="1"/>
  <c r="I4" i="212"/>
  <c r="H4" i="212"/>
  <c r="R35" i="212" l="1"/>
  <c r="S35" i="212" s="1"/>
  <c r="T35" i="212" s="1"/>
  <c r="N25" i="213"/>
  <c r="O36" i="212"/>
  <c r="M19" i="213"/>
  <c r="M29" i="213"/>
  <c r="M36" i="212"/>
  <c r="M43" i="212"/>
  <c r="P31" i="212"/>
  <c r="P36" i="212"/>
  <c r="P43" i="212"/>
  <c r="O43" i="212"/>
  <c r="N19" i="213"/>
  <c r="M25" i="213"/>
  <c r="D31" i="213"/>
  <c r="N29" i="213"/>
  <c r="E31" i="213"/>
  <c r="G31" i="213"/>
  <c r="I31" i="213"/>
  <c r="M34" i="213"/>
  <c r="Q38" i="213"/>
  <c r="P22" i="212"/>
  <c r="K31" i="213"/>
  <c r="C31" i="213"/>
  <c r="F31" i="213"/>
  <c r="H31" i="213"/>
  <c r="J31" i="213"/>
  <c r="L38" i="213"/>
  <c r="O22" i="212"/>
  <c r="M22" i="212"/>
  <c r="M31" i="212"/>
  <c r="L47" i="212"/>
  <c r="N47" i="212"/>
  <c r="P10" i="114"/>
  <c r="O10" i="165"/>
  <c r="O9" i="183"/>
  <c r="N9" i="183"/>
  <c r="S36" i="212" l="1"/>
  <c r="R36" i="212"/>
  <c r="N38" i="213"/>
  <c r="P47" i="212"/>
  <c r="M47" i="212"/>
  <c r="O47" i="212"/>
  <c r="N14" i="181" s="1"/>
  <c r="N15" i="181"/>
  <c r="T36" i="212" l="1"/>
  <c r="H14" i="214"/>
  <c r="S47" i="212"/>
  <c r="T47" i="212" s="1"/>
  <c r="R47" i="212"/>
  <c r="Q14" i="181" s="1"/>
  <c r="O14" i="181"/>
  <c r="Q56" i="211"/>
  <c r="R56" i="211" s="1"/>
  <c r="Q16" i="211"/>
  <c r="R16" i="211" s="1"/>
  <c r="Q17" i="211"/>
  <c r="Q18" i="211"/>
  <c r="R18" i="211" s="1"/>
  <c r="Q19" i="211"/>
  <c r="R19" i="211" s="1"/>
  <c r="Q20" i="211"/>
  <c r="R20" i="211" s="1"/>
  <c r="Q21" i="211"/>
  <c r="R21" i="211" s="1"/>
  <c r="Q22" i="211"/>
  <c r="R22" i="211" s="1"/>
  <c r="Q23" i="211"/>
  <c r="R23" i="211" s="1"/>
  <c r="Q24" i="211"/>
  <c r="R24" i="211" s="1"/>
  <c r="Q25" i="211"/>
  <c r="R25" i="211" s="1"/>
  <c r="Q26" i="211"/>
  <c r="R26" i="211" s="1"/>
  <c r="Q27" i="211"/>
  <c r="R27" i="211" s="1"/>
  <c r="Q28" i="211"/>
  <c r="R28" i="211" s="1"/>
  <c r="Q29" i="211"/>
  <c r="R29" i="211" s="1"/>
  <c r="Q30" i="211"/>
  <c r="R30" i="211" s="1"/>
  <c r="Q31" i="211"/>
  <c r="R31" i="211" s="1"/>
  <c r="Q33" i="211"/>
  <c r="R33" i="211" s="1"/>
  <c r="Q34" i="211"/>
  <c r="R34" i="211" s="1"/>
  <c r="Q35" i="211"/>
  <c r="R35" i="211" s="1"/>
  <c r="Q36" i="211"/>
  <c r="R36" i="211" s="1"/>
  <c r="Q37" i="211"/>
  <c r="R37" i="211" s="1"/>
  <c r="Q38" i="211"/>
  <c r="R38" i="211" s="1"/>
  <c r="Q39" i="211"/>
  <c r="R39" i="211" s="1"/>
  <c r="Q41" i="211"/>
  <c r="R41" i="211" s="1"/>
  <c r="Q42" i="211"/>
  <c r="R42" i="211" s="1"/>
  <c r="Q43" i="211"/>
  <c r="R43" i="211" s="1"/>
  <c r="Q45" i="211"/>
  <c r="R45" i="211" s="1"/>
  <c r="Q46" i="211"/>
  <c r="R46" i="211" s="1"/>
  <c r="Q47" i="211"/>
  <c r="R47" i="211" s="1"/>
  <c r="Q48" i="211"/>
  <c r="R48" i="211" s="1"/>
  <c r="Q49" i="211"/>
  <c r="R49" i="211" s="1"/>
  <c r="Q50" i="211"/>
  <c r="R50" i="211" s="1"/>
  <c r="Q52" i="211"/>
  <c r="R52" i="211" s="1"/>
  <c r="Q53" i="211"/>
  <c r="R53" i="211" s="1"/>
  <c r="Q54" i="211"/>
  <c r="R54" i="211" s="1"/>
  <c r="Q55" i="211"/>
  <c r="R55" i="211" s="1"/>
  <c r="Q15" i="211"/>
  <c r="R15" i="211" s="1"/>
  <c r="R17" i="211"/>
  <c r="R57" i="211"/>
  <c r="R58" i="211"/>
  <c r="N54" i="211"/>
  <c r="N50" i="211"/>
  <c r="N47" i="211"/>
  <c r="N43" i="211"/>
  <c r="N42" i="211"/>
  <c r="N39" i="211"/>
  <c r="N37" i="211"/>
  <c r="N36" i="211"/>
  <c r="N35" i="211"/>
  <c r="N27" i="211"/>
  <c r="N23" i="211"/>
  <c r="N18" i="211"/>
  <c r="N16" i="211"/>
  <c r="N15" i="211"/>
  <c r="N10" i="211"/>
  <c r="N11" i="211"/>
  <c r="P51" i="211"/>
  <c r="Q51" i="211" s="1"/>
  <c r="P44" i="211"/>
  <c r="Q44" i="211" s="1"/>
  <c r="R44" i="211" s="1"/>
  <c r="P40" i="211"/>
  <c r="Q40" i="211" s="1"/>
  <c r="R40" i="211" s="1"/>
  <c r="P32" i="211"/>
  <c r="Q32" i="211" s="1"/>
  <c r="R32" i="211" s="1"/>
  <c r="M57" i="211"/>
  <c r="M54" i="211"/>
  <c r="M44" i="211"/>
  <c r="M38" i="211"/>
  <c r="O38" i="211" s="1"/>
  <c r="M24" i="211"/>
  <c r="O24" i="211" s="1"/>
  <c r="M20" i="211"/>
  <c r="O20" i="211" s="1"/>
  <c r="M5" i="211"/>
  <c r="O5" i="211" s="1"/>
  <c r="M6" i="211"/>
  <c r="O6" i="211" s="1"/>
  <c r="M8" i="211"/>
  <c r="O8" i="211" s="1"/>
  <c r="M9" i="211"/>
  <c r="O9" i="211" s="1"/>
  <c r="M4" i="211"/>
  <c r="O4" i="211" s="1"/>
  <c r="L57" i="211"/>
  <c r="L54" i="211"/>
  <c r="J54" i="211"/>
  <c r="K53" i="211"/>
  <c r="K54" i="211" s="1"/>
  <c r="J51" i="211"/>
  <c r="K50" i="211"/>
  <c r="L50" i="211" s="1"/>
  <c r="O50" i="211" s="1"/>
  <c r="K49" i="211"/>
  <c r="L49" i="211" s="1"/>
  <c r="M49" i="211" s="1"/>
  <c r="K47" i="211"/>
  <c r="L47" i="211" s="1"/>
  <c r="O47" i="211" s="1"/>
  <c r="J44" i="211"/>
  <c r="L43" i="211"/>
  <c r="K43" i="211"/>
  <c r="K44" i="211" s="1"/>
  <c r="J40" i="211"/>
  <c r="K39" i="211"/>
  <c r="L37" i="211"/>
  <c r="O37" i="211" s="1"/>
  <c r="K37" i="211"/>
  <c r="L35" i="211"/>
  <c r="O35" i="211" s="1"/>
  <c r="L34" i="211"/>
  <c r="K34" i="211"/>
  <c r="I34" i="211"/>
  <c r="H34" i="211"/>
  <c r="G34" i="211"/>
  <c r="F34" i="211"/>
  <c r="E34" i="211"/>
  <c r="D34" i="211"/>
  <c r="C34" i="211"/>
  <c r="J32" i="211"/>
  <c r="K26" i="211"/>
  <c r="L26" i="211" s="1"/>
  <c r="M26" i="211" s="1"/>
  <c r="L25" i="211"/>
  <c r="M25" i="211" s="1"/>
  <c r="K25" i="211"/>
  <c r="L23" i="211"/>
  <c r="O23" i="211" s="1"/>
  <c r="K23" i="211"/>
  <c r="L22" i="211"/>
  <c r="O22" i="211" s="1"/>
  <c r="L21" i="211"/>
  <c r="O21" i="211" s="1"/>
  <c r="I21" i="211"/>
  <c r="I44" i="211" s="1"/>
  <c r="H21" i="211"/>
  <c r="H44" i="211" s="1"/>
  <c r="G21" i="211"/>
  <c r="G44" i="211" s="1"/>
  <c r="F21" i="211"/>
  <c r="F44" i="211" s="1"/>
  <c r="E21" i="211"/>
  <c r="E44" i="211" s="1"/>
  <c r="D21" i="211"/>
  <c r="D44" i="211" s="1"/>
  <c r="C21" i="211"/>
  <c r="C44" i="211" s="1"/>
  <c r="K20" i="211"/>
  <c r="L19" i="211"/>
  <c r="M19" i="211" s="1"/>
  <c r="O19" i="211" s="1"/>
  <c r="K19" i="211"/>
  <c r="L18" i="211"/>
  <c r="O18" i="211" s="1"/>
  <c r="K18" i="211"/>
  <c r="K17" i="211"/>
  <c r="L17" i="211" s="1"/>
  <c r="O17" i="211" s="1"/>
  <c r="L16" i="211"/>
  <c r="O16" i="211" s="1"/>
  <c r="K16" i="211"/>
  <c r="L15" i="211"/>
  <c r="O15" i="211" s="1"/>
  <c r="K15" i="211"/>
  <c r="J12" i="211"/>
  <c r="D12" i="211"/>
  <c r="D11" i="211"/>
  <c r="L7" i="211"/>
  <c r="L12" i="211" s="1"/>
  <c r="I5" i="211"/>
  <c r="H5" i="211"/>
  <c r="G5" i="211"/>
  <c r="F5" i="211"/>
  <c r="K4" i="211"/>
  <c r="K12" i="211" s="1"/>
  <c r="I3" i="211"/>
  <c r="H3" i="211"/>
  <c r="O13" i="176"/>
  <c r="R14" i="181" l="1"/>
  <c r="S14" i="181" s="1"/>
  <c r="N44" i="211"/>
  <c r="K32" i="211"/>
  <c r="K40" i="211"/>
  <c r="N8" i="211"/>
  <c r="O26" i="211"/>
  <c r="N26" i="211"/>
  <c r="O25" i="211"/>
  <c r="N25" i="211"/>
  <c r="O49" i="211"/>
  <c r="N49" i="211"/>
  <c r="N51" i="211" s="1"/>
  <c r="M51" i="211"/>
  <c r="L44" i="211"/>
  <c r="O44" i="211" s="1"/>
  <c r="O43" i="211"/>
  <c r="M7" i="211"/>
  <c r="M12" i="211" s="1"/>
  <c r="O12" i="211" s="1"/>
  <c r="L40" i="211"/>
  <c r="M34" i="211"/>
  <c r="O54" i="211"/>
  <c r="N9" i="211"/>
  <c r="N20" i="211"/>
  <c r="N24" i="211"/>
  <c r="J58" i="211"/>
  <c r="O57" i="211"/>
  <c r="N19" i="211"/>
  <c r="N38" i="211"/>
  <c r="Q59" i="211"/>
  <c r="R61" i="211" s="1"/>
  <c r="R51" i="211"/>
  <c r="P59" i="211"/>
  <c r="L51" i="211"/>
  <c r="L32" i="211"/>
  <c r="K51" i="211"/>
  <c r="N51" i="17"/>
  <c r="R59" i="211" l="1"/>
  <c r="L58" i="211"/>
  <c r="K58" i="211"/>
  <c r="N32" i="211"/>
  <c r="O7" i="211"/>
  <c r="N7" i="211"/>
  <c r="N12" i="211" s="1"/>
  <c r="M32" i="211"/>
  <c r="R66" i="211"/>
  <c r="O34" i="211"/>
  <c r="N34" i="211"/>
  <c r="N40" i="211" s="1"/>
  <c r="M40" i="211"/>
  <c r="O40" i="211" s="1"/>
  <c r="O51" i="211"/>
  <c r="O52" i="184"/>
  <c r="E41" i="189"/>
  <c r="E41" i="200"/>
  <c r="O38" i="170"/>
  <c r="O10" i="170"/>
  <c r="O53" i="41"/>
  <c r="O47" i="41"/>
  <c r="O50" i="41"/>
  <c r="O39" i="40"/>
  <c r="O32" i="169"/>
  <c r="P46" i="38"/>
  <c r="P9" i="38"/>
  <c r="O42" i="37"/>
  <c r="O39" i="37"/>
  <c r="O59" i="176"/>
  <c r="O54" i="176"/>
  <c r="O44" i="176"/>
  <c r="O42" i="35"/>
  <c r="O35" i="35"/>
  <c r="O8" i="35"/>
  <c r="O50" i="168"/>
  <c r="O42" i="165"/>
  <c r="O39" i="165"/>
  <c r="O55" i="162"/>
  <c r="O58" i="162"/>
  <c r="O51" i="162"/>
  <c r="O43" i="162"/>
  <c r="O39" i="162"/>
  <c r="M47" i="163"/>
  <c r="M39" i="163"/>
  <c r="M35" i="163"/>
  <c r="M27" i="163"/>
  <c r="M9" i="163"/>
  <c r="K43" i="92"/>
  <c r="K35" i="92"/>
  <c r="K31" i="92"/>
  <c r="K24" i="92"/>
  <c r="K9" i="92"/>
  <c r="N58" i="211" l="1"/>
  <c r="E45" i="189"/>
  <c r="M48" i="163"/>
  <c r="M58" i="211"/>
  <c r="O58" i="211" s="1"/>
  <c r="O32" i="211"/>
  <c r="K50" i="92"/>
  <c r="O59" i="162"/>
  <c r="Q48" i="31"/>
  <c r="Q6" i="31"/>
  <c r="O46" i="183"/>
  <c r="O43" i="183"/>
  <c r="P36" i="114"/>
  <c r="P31" i="114"/>
  <c r="O42" i="116"/>
  <c r="O38" i="116"/>
  <c r="O11" i="116"/>
  <c r="N46" i="175"/>
  <c r="N14" i="175"/>
  <c r="O44" i="25"/>
  <c r="O47" i="25"/>
  <c r="O14" i="25"/>
  <c r="O41" i="24"/>
  <c r="E37" i="185"/>
  <c r="E33" i="185"/>
  <c r="E26" i="185"/>
  <c r="E8" i="185"/>
  <c r="O49" i="100"/>
  <c r="O27" i="100"/>
  <c r="O13" i="100"/>
  <c r="O11" i="21"/>
  <c r="N44" i="19"/>
  <c r="N35" i="18"/>
  <c r="N46" i="16"/>
  <c r="N41" i="17"/>
  <c r="N12" i="17"/>
  <c r="O45" i="83"/>
  <c r="O39" i="83"/>
  <c r="M26" i="59"/>
  <c r="N49" i="100"/>
  <c r="O43" i="181" l="1"/>
  <c r="N29" i="181"/>
  <c r="N24" i="181"/>
  <c r="N26" i="181"/>
  <c r="P72" i="210"/>
  <c r="N44" i="176"/>
  <c r="N72" i="210"/>
  <c r="L72" i="210"/>
  <c r="K72" i="210"/>
  <c r="J72" i="210"/>
  <c r="M59" i="210"/>
  <c r="M72" i="210" s="1"/>
  <c r="L37" i="210"/>
  <c r="J37" i="210"/>
  <c r="I37" i="210"/>
  <c r="H37" i="210"/>
  <c r="G37" i="210"/>
  <c r="E37" i="210"/>
  <c r="C37" i="210"/>
  <c r="M35" i="210"/>
  <c r="F35" i="210"/>
  <c r="F37" i="210" s="1"/>
  <c r="M8" i="210"/>
  <c r="N31" i="210"/>
  <c r="D31" i="210"/>
  <c r="D37" i="210" s="1"/>
  <c r="N29" i="210"/>
  <c r="L29" i="210"/>
  <c r="M20" i="210"/>
  <c r="M15" i="210"/>
  <c r="M12" i="210"/>
  <c r="P84" i="210" l="1"/>
  <c r="M37" i="210"/>
  <c r="M29" i="210"/>
  <c r="N37" i="210"/>
  <c r="L84" i="210"/>
  <c r="M25" i="25"/>
  <c r="L25" i="25"/>
  <c r="Q41" i="208"/>
  <c r="Q40" i="208"/>
  <c r="M40" i="208"/>
  <c r="Q39" i="208"/>
  <c r="M39" i="208"/>
  <c r="Q38" i="208"/>
  <c r="Q37" i="208"/>
  <c r="Q36" i="208"/>
  <c r="Q35" i="208"/>
  <c r="J35" i="208"/>
  <c r="I35" i="208"/>
  <c r="H35" i="208"/>
  <c r="G35" i="208"/>
  <c r="F35" i="208"/>
  <c r="E35" i="208"/>
  <c r="C35" i="208"/>
  <c r="L34" i="208"/>
  <c r="Q33" i="208"/>
  <c r="N32" i="208"/>
  <c r="Q32" i="208" s="1"/>
  <c r="M32" i="208"/>
  <c r="N31" i="208"/>
  <c r="M31" i="208"/>
  <c r="Q30" i="208"/>
  <c r="L29" i="208"/>
  <c r="K29" i="208"/>
  <c r="N28" i="208"/>
  <c r="Q28" i="208" s="1"/>
  <c r="M28" i="208"/>
  <c r="N27" i="208"/>
  <c r="Q27" i="208" s="1"/>
  <c r="M27" i="208"/>
  <c r="D27" i="208"/>
  <c r="D35" i="208" s="1"/>
  <c r="N26" i="208"/>
  <c r="M26" i="208"/>
  <c r="M25" i="208"/>
  <c r="N25" i="208" s="1"/>
  <c r="Q24" i="208"/>
  <c r="J24" i="208"/>
  <c r="I24" i="208"/>
  <c r="H24" i="208"/>
  <c r="G24" i="208"/>
  <c r="F24" i="208"/>
  <c r="E24" i="208"/>
  <c r="D24" i="208"/>
  <c r="C24" i="208"/>
  <c r="K23" i="208"/>
  <c r="Q20" i="208"/>
  <c r="M20" i="208"/>
  <c r="L20" i="208"/>
  <c r="L23" i="208" s="1"/>
  <c r="N18" i="208"/>
  <c r="Q18" i="208" s="1"/>
  <c r="M18" i="208"/>
  <c r="J18" i="208"/>
  <c r="I18" i="208"/>
  <c r="H18" i="208"/>
  <c r="G18" i="208"/>
  <c r="F18" i="208"/>
  <c r="D18" i="208"/>
  <c r="C18" i="208"/>
  <c r="N17" i="208"/>
  <c r="Q17" i="208" s="1"/>
  <c r="M17" i="208"/>
  <c r="K17" i="208"/>
  <c r="M15" i="208"/>
  <c r="N15" i="208" s="1"/>
  <c r="Q15" i="208" s="1"/>
  <c r="Q14" i="208"/>
  <c r="M14" i="208"/>
  <c r="N13" i="208"/>
  <c r="Q13" i="208" s="1"/>
  <c r="M13" i="208"/>
  <c r="N12" i="208"/>
  <c r="Q12" i="208" s="1"/>
  <c r="M12" i="208"/>
  <c r="N11" i="208"/>
  <c r="M11" i="208"/>
  <c r="Q10" i="208"/>
  <c r="Q9" i="208"/>
  <c r="L8" i="208"/>
  <c r="N7" i="208"/>
  <c r="N8" i="208" s="1"/>
  <c r="Q6" i="208"/>
  <c r="K6" i="208"/>
  <c r="J6" i="208"/>
  <c r="Q5" i="208"/>
  <c r="M5" i="208"/>
  <c r="G5" i="208"/>
  <c r="Q4" i="208"/>
  <c r="K4" i="208"/>
  <c r="J4" i="208"/>
  <c r="E13" i="198"/>
  <c r="O38" i="184"/>
  <c r="P38" i="184" s="1"/>
  <c r="O44" i="53"/>
  <c r="E41" i="185"/>
  <c r="O35" i="100"/>
  <c r="N47" i="18"/>
  <c r="E40" i="182"/>
  <c r="F40" i="182" s="1"/>
  <c r="G40" i="182" s="1"/>
  <c r="H40" i="182" s="1"/>
  <c r="I40" i="182" s="1"/>
  <c r="E39" i="182"/>
  <c r="F39" i="182" s="1"/>
  <c r="E34" i="182"/>
  <c r="F34" i="182" s="1"/>
  <c r="E21" i="182"/>
  <c r="E19" i="182"/>
  <c r="F19" i="182" s="1"/>
  <c r="G19" i="182" s="1"/>
  <c r="E14" i="182"/>
  <c r="M26" i="126"/>
  <c r="M18" i="126"/>
  <c r="M15" i="126"/>
  <c r="F18" i="125"/>
  <c r="G18" i="125" s="1"/>
  <c r="F34" i="125"/>
  <c r="F29" i="125"/>
  <c r="F16" i="125"/>
  <c r="F15" i="125"/>
  <c r="P22" i="75"/>
  <c r="P10" i="75"/>
  <c r="O30" i="23"/>
  <c r="O24" i="23"/>
  <c r="O16" i="23"/>
  <c r="O15" i="23"/>
  <c r="O12" i="23"/>
  <c r="O11" i="23"/>
  <c r="P41" i="63"/>
  <c r="P30" i="63"/>
  <c r="P19" i="63"/>
  <c r="P11" i="63"/>
  <c r="O29" i="177"/>
  <c r="O28" i="177"/>
  <c r="O26" i="177"/>
  <c r="O17" i="177"/>
  <c r="O13" i="177"/>
  <c r="M33" i="174"/>
  <c r="M32" i="174"/>
  <c r="M27" i="174"/>
  <c r="M17" i="174"/>
  <c r="O20" i="172"/>
  <c r="O19" i="172"/>
  <c r="O12" i="172"/>
  <c r="O7" i="51"/>
  <c r="P7" i="51" s="1"/>
  <c r="P8" i="51" s="1"/>
  <c r="S52" i="53"/>
  <c r="O39" i="53"/>
  <c r="O31" i="53"/>
  <c r="O22" i="53"/>
  <c r="O21" i="53"/>
  <c r="O19" i="171"/>
  <c r="P19" i="171" s="1"/>
  <c r="P27" i="171" s="1"/>
  <c r="O39" i="171"/>
  <c r="O38" i="171"/>
  <c r="O33" i="171"/>
  <c r="O20" i="171"/>
  <c r="O14" i="171"/>
  <c r="N36" i="46"/>
  <c r="N35" i="46"/>
  <c r="N33" i="46"/>
  <c r="N30" i="46"/>
  <c r="N29" i="46"/>
  <c r="N19" i="46"/>
  <c r="N16" i="46"/>
  <c r="N15" i="46"/>
  <c r="M15" i="44"/>
  <c r="M39" i="44"/>
  <c r="M34" i="44"/>
  <c r="M33" i="44"/>
  <c r="M16" i="44"/>
  <c r="M12" i="44"/>
  <c r="N40" i="178"/>
  <c r="N32" i="178"/>
  <c r="N24" i="178"/>
  <c r="N12" i="178"/>
  <c r="O31" i="170"/>
  <c r="O13" i="170"/>
  <c r="O12" i="41"/>
  <c r="O32" i="40"/>
  <c r="O19" i="40"/>
  <c r="O26" i="169"/>
  <c r="O19" i="169"/>
  <c r="O17" i="169"/>
  <c r="P39" i="38"/>
  <c r="P34" i="38"/>
  <c r="P20" i="38"/>
  <c r="O33" i="37"/>
  <c r="O32" i="37"/>
  <c r="O27" i="37"/>
  <c r="O18" i="37"/>
  <c r="O17" i="37"/>
  <c r="O13" i="37"/>
  <c r="O12" i="37"/>
  <c r="O29" i="35"/>
  <c r="O24" i="35"/>
  <c r="O18" i="35"/>
  <c r="O12" i="35"/>
  <c r="O11" i="35"/>
  <c r="O35" i="168"/>
  <c r="O34" i="168"/>
  <c r="O31" i="168"/>
  <c r="O30" i="168"/>
  <c r="O9" i="168"/>
  <c r="O28" i="168"/>
  <c r="O27" i="168"/>
  <c r="O22" i="168"/>
  <c r="O18" i="168"/>
  <c r="O15" i="168"/>
  <c r="O14" i="168"/>
  <c r="O13" i="168"/>
  <c r="O5" i="168"/>
  <c r="O27" i="165"/>
  <c r="O26" i="165"/>
  <c r="O21" i="165"/>
  <c r="O20" i="165"/>
  <c r="O18" i="165"/>
  <c r="O13" i="165"/>
  <c r="Q38" i="31"/>
  <c r="Q37" i="31"/>
  <c r="Q34" i="31"/>
  <c r="Q8" i="31"/>
  <c r="Q32" i="31"/>
  <c r="Q31" i="31"/>
  <c r="Q22" i="31"/>
  <c r="Q21" i="31"/>
  <c r="Q20" i="31"/>
  <c r="Q13" i="31"/>
  <c r="P25" i="114"/>
  <c r="O31" i="116"/>
  <c r="N37" i="175"/>
  <c r="N36" i="175"/>
  <c r="N33" i="175"/>
  <c r="N26" i="175"/>
  <c r="N25" i="175"/>
  <c r="N23" i="175"/>
  <c r="N20" i="175"/>
  <c r="N17" i="175"/>
  <c r="O39" i="28"/>
  <c r="O46" i="28"/>
  <c r="O34" i="28"/>
  <c r="O32" i="28"/>
  <c r="O22" i="28"/>
  <c r="O18" i="28"/>
  <c r="O17" i="28"/>
  <c r="O16" i="28"/>
  <c r="O36" i="25"/>
  <c r="O35" i="25"/>
  <c r="O32" i="25"/>
  <c r="O23" i="25"/>
  <c r="O18" i="25"/>
  <c r="O35" i="24"/>
  <c r="O34" i="24"/>
  <c r="O32" i="24"/>
  <c r="O26" i="24"/>
  <c r="O25" i="24"/>
  <c r="O22" i="24"/>
  <c r="O17" i="24"/>
  <c r="O16" i="24"/>
  <c r="O14" i="24"/>
  <c r="O13" i="24"/>
  <c r="O39" i="100"/>
  <c r="O32" i="100"/>
  <c r="M36" i="59"/>
  <c r="O47" i="21"/>
  <c r="O37" i="21"/>
  <c r="O36" i="21"/>
  <c r="O32" i="21"/>
  <c r="O31" i="21"/>
  <c r="O23" i="21"/>
  <c r="O22" i="21"/>
  <c r="O17" i="21"/>
  <c r="N37" i="19"/>
  <c r="N36" i="19"/>
  <c r="N32" i="19"/>
  <c r="N22" i="19"/>
  <c r="N21" i="19"/>
  <c r="N18" i="19"/>
  <c r="N17" i="19"/>
  <c r="N38" i="18"/>
  <c r="N24" i="18"/>
  <c r="N23" i="18"/>
  <c r="N17" i="18"/>
  <c r="N35" i="16"/>
  <c r="N31" i="16"/>
  <c r="N30" i="16"/>
  <c r="N21" i="16"/>
  <c r="N35" i="17"/>
  <c r="N34" i="17"/>
  <c r="N23" i="17"/>
  <c r="N18" i="17"/>
  <c r="O48" i="83"/>
  <c r="O32" i="83"/>
  <c r="O23" i="83"/>
  <c r="O22" i="83"/>
  <c r="O18" i="83"/>
  <c r="O17" i="83"/>
  <c r="O14" i="83"/>
  <c r="I17" i="91"/>
  <c r="J30" i="91"/>
  <c r="J27" i="91"/>
  <c r="J26" i="91"/>
  <c r="K21" i="1"/>
  <c r="P3" i="181" s="1"/>
  <c r="D26" i="185"/>
  <c r="N42" i="116"/>
  <c r="B4" i="207"/>
  <c r="C4" i="207" s="1"/>
  <c r="D5" i="206"/>
  <c r="F13" i="203"/>
  <c r="C13" i="203"/>
  <c r="C5" i="202"/>
  <c r="D4" i="202"/>
  <c r="D3" i="202"/>
  <c r="D2" i="202"/>
  <c r="G29" i="182" l="1"/>
  <c r="P59" i="171"/>
  <c r="P49" i="181" s="1"/>
  <c r="G34" i="182"/>
  <c r="F36" i="182"/>
  <c r="G25" i="125"/>
  <c r="G51" i="125" s="1"/>
  <c r="G39" i="182"/>
  <c r="F41" i="182"/>
  <c r="Q19" i="171"/>
  <c r="Q7" i="51"/>
  <c r="N42" i="178"/>
  <c r="N37" i="46"/>
  <c r="O40" i="171"/>
  <c r="O24" i="177"/>
  <c r="O30" i="177"/>
  <c r="E22" i="198"/>
  <c r="E44" i="198" s="1"/>
  <c r="F13" i="198"/>
  <c r="N36" i="178"/>
  <c r="M41" i="44"/>
  <c r="P23" i="75"/>
  <c r="E29" i="182"/>
  <c r="F14" i="182"/>
  <c r="O34" i="171"/>
  <c r="O40" i="53"/>
  <c r="O8" i="51"/>
  <c r="O26" i="172"/>
  <c r="O20" i="23"/>
  <c r="O26" i="23"/>
  <c r="P17" i="75"/>
  <c r="F25" i="125"/>
  <c r="F32" i="125"/>
  <c r="M23" i="126"/>
  <c r="M29" i="126"/>
  <c r="E41" i="182"/>
  <c r="M28" i="44"/>
  <c r="M36" i="44"/>
  <c r="O34" i="53"/>
  <c r="M34" i="174"/>
  <c r="P31" i="63"/>
  <c r="O31" i="23"/>
  <c r="F36" i="125"/>
  <c r="E36" i="182"/>
  <c r="O47" i="53"/>
  <c r="M34" i="208"/>
  <c r="N34" i="208"/>
  <c r="Q34" i="208" s="1"/>
  <c r="O3" i="181"/>
  <c r="N33" i="16"/>
  <c r="N34" i="19"/>
  <c r="O36" i="100"/>
  <c r="O36" i="24"/>
  <c r="D5" i="202"/>
  <c r="J33" i="91"/>
  <c r="O34" i="83"/>
  <c r="N26" i="16"/>
  <c r="N40" i="18"/>
  <c r="N39" i="19"/>
  <c r="O27" i="21"/>
  <c r="O41" i="100"/>
  <c r="O30" i="24"/>
  <c r="O27" i="25"/>
  <c r="O33" i="25"/>
  <c r="O40" i="28"/>
  <c r="N34" i="175"/>
  <c r="O23" i="165"/>
  <c r="O7" i="168"/>
  <c r="O32" i="168"/>
  <c r="O30" i="37"/>
  <c r="P40" i="38"/>
  <c r="O22" i="169"/>
  <c r="O27" i="169"/>
  <c r="O34" i="40"/>
  <c r="O33" i="170"/>
  <c r="N38" i="16"/>
  <c r="N28" i="18"/>
  <c r="N27" i="19"/>
  <c r="O34" i="21"/>
  <c r="O39" i="21"/>
  <c r="O37" i="25"/>
  <c r="O27" i="28"/>
  <c r="O36" i="28"/>
  <c r="O47" i="28"/>
  <c r="N28" i="175"/>
  <c r="N39" i="175"/>
  <c r="O33" i="116"/>
  <c r="P26" i="114"/>
  <c r="O37" i="168"/>
  <c r="O30" i="35"/>
  <c r="O34" i="37"/>
  <c r="O27" i="40"/>
  <c r="O26" i="170"/>
  <c r="R12" i="31"/>
  <c r="S12" i="31" s="1"/>
  <c r="Q35" i="31"/>
  <c r="Q40" i="31"/>
  <c r="E44" i="185"/>
  <c r="N36" i="17"/>
  <c r="M84" i="210"/>
  <c r="N84" i="210"/>
  <c r="N23" i="208"/>
  <c r="Q23" i="208" s="1"/>
  <c r="M23" i="208"/>
  <c r="D36" i="208"/>
  <c r="E36" i="208"/>
  <c r="G36" i="208"/>
  <c r="I36" i="208"/>
  <c r="K36" i="208"/>
  <c r="C36" i="208"/>
  <c r="F36" i="208"/>
  <c r="H36" i="208"/>
  <c r="J36" i="208"/>
  <c r="N29" i="208"/>
  <c r="Q29" i="208" s="1"/>
  <c r="Q25" i="208"/>
  <c r="L50" i="208"/>
  <c r="Q11" i="208"/>
  <c r="Q26" i="208"/>
  <c r="M29" i="208"/>
  <c r="Q31" i="208"/>
  <c r="K22" i="59"/>
  <c r="Q8" i="51" l="1"/>
  <c r="G36" i="182"/>
  <c r="H34" i="182"/>
  <c r="I19" i="182"/>
  <c r="H29" i="182"/>
  <c r="Q27" i="171"/>
  <c r="R19" i="171"/>
  <c r="G41" i="182"/>
  <c r="H39" i="182"/>
  <c r="Q59" i="171"/>
  <c r="Q49" i="181" s="1"/>
  <c r="P57" i="181"/>
  <c r="Q57" i="181"/>
  <c r="S57" i="181" s="1"/>
  <c r="F29" i="182"/>
  <c r="F55" i="182" s="1"/>
  <c r="P60" i="181" s="1"/>
  <c r="T12" i="31"/>
  <c r="U12" i="31" s="1"/>
  <c r="G13" i="198"/>
  <c r="H13" i="198" s="1"/>
  <c r="F22" i="198"/>
  <c r="F44" i="198" s="1"/>
  <c r="P61" i="181" s="1"/>
  <c r="O49" i="177"/>
  <c r="O53" i="181" s="1"/>
  <c r="F51" i="125"/>
  <c r="O57" i="181" s="1"/>
  <c r="O42" i="23"/>
  <c r="O55" i="181" s="1"/>
  <c r="O51" i="172"/>
  <c r="O51" i="181" s="1"/>
  <c r="M48" i="126"/>
  <c r="M66" i="44"/>
  <c r="O44" i="181" s="1"/>
  <c r="E55" i="182"/>
  <c r="O60" i="181" s="1"/>
  <c r="E48" i="185"/>
  <c r="N13" i="181" s="1"/>
  <c r="O48" i="21"/>
  <c r="N10" i="181" s="1"/>
  <c r="O49" i="116"/>
  <c r="N50" i="175"/>
  <c r="O48" i="25"/>
  <c r="O61" i="181"/>
  <c r="O53" i="100"/>
  <c r="Q7" i="208"/>
  <c r="N50" i="208"/>
  <c r="N12" i="183"/>
  <c r="O12" i="183" s="1"/>
  <c r="N14" i="183"/>
  <c r="O14" i="183" s="1"/>
  <c r="P14" i="183" s="1"/>
  <c r="Q14" i="183" s="1"/>
  <c r="N30" i="183"/>
  <c r="O30" i="183" s="1"/>
  <c r="N34" i="183"/>
  <c r="O34" i="183" s="1"/>
  <c r="P34" i="183" s="1"/>
  <c r="Q34" i="183" s="1"/>
  <c r="R34" i="183" s="1"/>
  <c r="S34" i="183" s="1"/>
  <c r="T34" i="183" s="1"/>
  <c r="N53" i="41"/>
  <c r="V12" i="31" l="1"/>
  <c r="I29" i="182"/>
  <c r="F60" i="214"/>
  <c r="G55" i="182"/>
  <c r="Q60" i="181" s="1"/>
  <c r="I13" i="198"/>
  <c r="H22" i="198"/>
  <c r="F61" i="214" s="1"/>
  <c r="H41" i="182"/>
  <c r="H60" i="214" s="1"/>
  <c r="I39" i="182"/>
  <c r="S19" i="171"/>
  <c r="R27" i="171"/>
  <c r="F49" i="214" s="1"/>
  <c r="Q49" i="214" s="1"/>
  <c r="H36" i="182"/>
  <c r="I34" i="182"/>
  <c r="R8" i="51"/>
  <c r="S7" i="51"/>
  <c r="G22" i="198"/>
  <c r="R14" i="183"/>
  <c r="S14" i="183" s="1"/>
  <c r="O58" i="181"/>
  <c r="N12" i="181"/>
  <c r="N17" i="181"/>
  <c r="N19" i="181"/>
  <c r="N20" i="181"/>
  <c r="Q8" i="208"/>
  <c r="Q50" i="208"/>
  <c r="I36" i="182" l="1"/>
  <c r="G60" i="214"/>
  <c r="S8" i="51"/>
  <c r="D25" i="214"/>
  <c r="T14" i="183"/>
  <c r="S27" i="171"/>
  <c r="R59" i="171"/>
  <c r="I22" i="198"/>
  <c r="H44" i="198"/>
  <c r="I41" i="182"/>
  <c r="G44" i="198"/>
  <c r="Q61" i="181" s="1"/>
  <c r="E31" i="200"/>
  <c r="R60" i="181" l="1"/>
  <c r="S60" i="181" s="1"/>
  <c r="I55" i="182"/>
  <c r="I44" i="198"/>
  <c r="R61" i="181"/>
  <c r="S61" i="181" s="1"/>
  <c r="R49" i="181"/>
  <c r="S49" i="181" s="1"/>
  <c r="S59" i="171"/>
  <c r="E34" i="200"/>
  <c r="E52" i="200" s="1"/>
  <c r="O42" i="181" s="1"/>
  <c r="F31" i="200"/>
  <c r="F34" i="200" s="1"/>
  <c r="F52" i="200" s="1"/>
  <c r="P42" i="181" s="1"/>
  <c r="C41" i="200"/>
  <c r="C45" i="200"/>
  <c r="C34" i="200"/>
  <c r="C29" i="200"/>
  <c r="C23" i="200"/>
  <c r="C9" i="200"/>
  <c r="G31" i="200" l="1"/>
  <c r="C52" i="200"/>
  <c r="L42" i="181" s="1"/>
  <c r="N39" i="165"/>
  <c r="L61" i="181"/>
  <c r="G34" i="200" l="1"/>
  <c r="G52" i="200" s="1"/>
  <c r="Q42" i="181" s="1"/>
  <c r="H31" i="200"/>
  <c r="N10" i="165"/>
  <c r="L55" i="59"/>
  <c r="L7" i="59"/>
  <c r="M7" i="59" s="1"/>
  <c r="N49" i="162"/>
  <c r="L37" i="59"/>
  <c r="L24" i="59"/>
  <c r="L23" i="59"/>
  <c r="H34" i="200" l="1"/>
  <c r="I31" i="200"/>
  <c r="M14" i="59"/>
  <c r="N42" i="170"/>
  <c r="N59" i="176"/>
  <c r="N13" i="176"/>
  <c r="N42" i="35"/>
  <c r="N35" i="35"/>
  <c r="N8" i="35"/>
  <c r="H42" i="214" l="1"/>
  <c r="H52" i="200"/>
  <c r="I34" i="200"/>
  <c r="N50" i="168"/>
  <c r="N58" i="162"/>
  <c r="N55" i="162"/>
  <c r="N51" i="162"/>
  <c r="N11" i="162"/>
  <c r="L47" i="163"/>
  <c r="L9" i="163"/>
  <c r="J43" i="92"/>
  <c r="N6" i="31"/>
  <c r="O10" i="114"/>
  <c r="N38" i="116"/>
  <c r="N11" i="116"/>
  <c r="M14" i="175"/>
  <c r="N47" i="25"/>
  <c r="D44" i="185"/>
  <c r="D37" i="185"/>
  <c r="D33" i="185"/>
  <c r="D8" i="185"/>
  <c r="N13" i="100"/>
  <c r="L14" i="59"/>
  <c r="N11" i="21"/>
  <c r="M50" i="19"/>
  <c r="M44" i="19"/>
  <c r="M35" i="18"/>
  <c r="N39" i="83"/>
  <c r="I10" i="91"/>
  <c r="I52" i="200" l="1"/>
  <c r="R42" i="181"/>
  <c r="S42" i="181" s="1"/>
  <c r="J54" i="194"/>
  <c r="J49" i="194"/>
  <c r="J42" i="194"/>
  <c r="L38" i="194"/>
  <c r="J38" i="194"/>
  <c r="I32" i="194"/>
  <c r="H32" i="194"/>
  <c r="G32" i="194"/>
  <c r="F32" i="194"/>
  <c r="E32" i="194"/>
  <c r="D32" i="194"/>
  <c r="C32" i="194"/>
  <c r="L30" i="194"/>
  <c r="J30" i="194"/>
  <c r="I22" i="194"/>
  <c r="I42" i="194" s="1"/>
  <c r="H22" i="194"/>
  <c r="H42" i="194" s="1"/>
  <c r="G22" i="194"/>
  <c r="G42" i="194" s="1"/>
  <c r="F22" i="194"/>
  <c r="F42" i="194" s="1"/>
  <c r="E22" i="194"/>
  <c r="E42" i="194" s="1"/>
  <c r="D22" i="194"/>
  <c r="D42" i="194" s="1"/>
  <c r="C22" i="194"/>
  <c r="C42" i="194" s="1"/>
  <c r="L13" i="194"/>
  <c r="K13" i="194"/>
  <c r="J13" i="194"/>
  <c r="D13" i="194"/>
  <c r="D12" i="194"/>
  <c r="I5" i="194"/>
  <c r="H5" i="194"/>
  <c r="G5" i="194"/>
  <c r="F5" i="194"/>
  <c r="I3" i="194"/>
  <c r="H3" i="194"/>
  <c r="J55" i="194" l="1"/>
  <c r="L55" i="194"/>
  <c r="N50" i="41" l="1"/>
  <c r="N8" i="178"/>
  <c r="J7" i="1"/>
  <c r="N2" i="181" s="1"/>
  <c r="J21" i="1"/>
  <c r="N3" i="181" s="1"/>
  <c r="M20" i="175"/>
  <c r="C54" i="191"/>
  <c r="J4" i="37"/>
  <c r="K4" i="37"/>
  <c r="G5" i="37"/>
  <c r="M5" i="37"/>
  <c r="J6" i="37"/>
  <c r="K6" i="37"/>
  <c r="N7" i="37"/>
  <c r="L8" i="37"/>
  <c r="M11" i="37"/>
  <c r="N11" i="37"/>
  <c r="M12" i="37"/>
  <c r="N12" i="37"/>
  <c r="M13" i="37"/>
  <c r="N13" i="37"/>
  <c r="M14" i="37"/>
  <c r="M15" i="37"/>
  <c r="N15" i="37" s="1"/>
  <c r="O15" i="37" s="1"/>
  <c r="O24" i="37" s="1"/>
  <c r="K17" i="37"/>
  <c r="M17" i="37"/>
  <c r="N17" i="37"/>
  <c r="C18" i="37"/>
  <c r="D18" i="37"/>
  <c r="F18" i="37"/>
  <c r="G18" i="37"/>
  <c r="H18" i="37"/>
  <c r="I18" i="37"/>
  <c r="J18" i="37"/>
  <c r="M18" i="37"/>
  <c r="N18" i="37"/>
  <c r="L20" i="37"/>
  <c r="L24" i="37" s="1"/>
  <c r="M20" i="37"/>
  <c r="M22" i="37"/>
  <c r="N22" i="37"/>
  <c r="K24" i="37"/>
  <c r="C25" i="37"/>
  <c r="D25" i="37"/>
  <c r="E25" i="37"/>
  <c r="F25" i="37"/>
  <c r="G25" i="37"/>
  <c r="H25" i="37"/>
  <c r="I25" i="37"/>
  <c r="J25" i="37"/>
  <c r="M26" i="37"/>
  <c r="N26" i="37" s="1"/>
  <c r="M27" i="37"/>
  <c r="N27" i="37"/>
  <c r="D28" i="37"/>
  <c r="D35" i="37" s="1"/>
  <c r="M28" i="37"/>
  <c r="N28" i="37"/>
  <c r="M29" i="37"/>
  <c r="N29" i="37"/>
  <c r="K30" i="37"/>
  <c r="L30" i="37"/>
  <c r="M32" i="37"/>
  <c r="N32" i="37"/>
  <c r="M33" i="37"/>
  <c r="N33" i="37"/>
  <c r="L34" i="37"/>
  <c r="C35" i="37"/>
  <c r="E35" i="37"/>
  <c r="F35" i="37"/>
  <c r="G35" i="37"/>
  <c r="H35" i="37"/>
  <c r="I35" i="37"/>
  <c r="J35" i="37"/>
  <c r="F39" i="37"/>
  <c r="L39" i="37"/>
  <c r="N39" i="37"/>
  <c r="M41" i="37"/>
  <c r="M42" i="37" s="1"/>
  <c r="N41" i="37"/>
  <c r="J42" i="37"/>
  <c r="K42" i="37"/>
  <c r="L42" i="37"/>
  <c r="P6" i="75"/>
  <c r="P7" i="75" l="1"/>
  <c r="P35" i="75" s="1"/>
  <c r="Q6" i="75"/>
  <c r="N9" i="178"/>
  <c r="O8" i="178"/>
  <c r="O9" i="178" s="1"/>
  <c r="C36" i="37"/>
  <c r="K36" i="37"/>
  <c r="G36" i="37"/>
  <c r="D36" i="37"/>
  <c r="L43" i="37"/>
  <c r="I36" i="37"/>
  <c r="E36" i="37"/>
  <c r="J36" i="37"/>
  <c r="H36" i="37"/>
  <c r="F36" i="37"/>
  <c r="O43" i="37"/>
  <c r="N35" i="181" s="1"/>
  <c r="N8" i="37"/>
  <c r="M30" i="37"/>
  <c r="M34" i="37"/>
  <c r="N34" i="37"/>
  <c r="N30" i="37"/>
  <c r="N42" i="37"/>
  <c r="M39" i="37"/>
  <c r="N24" i="37"/>
  <c r="M24" i="37"/>
  <c r="H17" i="119"/>
  <c r="H16" i="119"/>
  <c r="H45" i="119"/>
  <c r="H44" i="119"/>
  <c r="M44" i="83"/>
  <c r="R6" i="75" l="1"/>
  <c r="S6" i="75" s="1"/>
  <c r="Q7" i="75"/>
  <c r="Q35" i="75" s="1"/>
  <c r="P56" i="181" s="1"/>
  <c r="N43" i="37"/>
  <c r="M35" i="181" s="1"/>
  <c r="T6" i="75" l="1"/>
  <c r="S7" i="75"/>
  <c r="D56" i="214" s="1"/>
  <c r="D65" i="214" s="1"/>
  <c r="R7" i="75"/>
  <c r="P43" i="37"/>
  <c r="M49" i="184"/>
  <c r="M36" i="184"/>
  <c r="M29" i="184"/>
  <c r="M12" i="184"/>
  <c r="K9" i="126"/>
  <c r="D9" i="125"/>
  <c r="L62" i="178"/>
  <c r="N10" i="170"/>
  <c r="C41" i="182"/>
  <c r="C36" i="182"/>
  <c r="C29" i="182"/>
  <c r="C8" i="182"/>
  <c r="N47" i="41"/>
  <c r="M47" i="41"/>
  <c r="M39" i="41"/>
  <c r="M33" i="41"/>
  <c r="M8" i="41"/>
  <c r="N39" i="40"/>
  <c r="M39" i="40"/>
  <c r="N32" i="169"/>
  <c r="O9" i="38"/>
  <c r="M35" i="35"/>
  <c r="N42" i="165"/>
  <c r="M42" i="165"/>
  <c r="M55" i="162"/>
  <c r="K9" i="163"/>
  <c r="M6" i="31"/>
  <c r="N48" i="31"/>
  <c r="N46" i="183"/>
  <c r="N43" i="183"/>
  <c r="M43" i="183"/>
  <c r="M31" i="183"/>
  <c r="M9" i="183"/>
  <c r="O36" i="114"/>
  <c r="N36" i="114"/>
  <c r="M46" i="175"/>
  <c r="M13" i="28"/>
  <c r="N44" i="25"/>
  <c r="M13" i="100"/>
  <c r="N47" i="21"/>
  <c r="L50" i="19"/>
  <c r="L44" i="19"/>
  <c r="L35" i="18"/>
  <c r="M46" i="16"/>
  <c r="M51" i="17"/>
  <c r="M41" i="17"/>
  <c r="N45" i="83"/>
  <c r="N7" i="40"/>
  <c r="N8" i="169"/>
  <c r="O8" i="169" s="1"/>
  <c r="N6" i="168"/>
  <c r="N9" i="25"/>
  <c r="N7" i="24"/>
  <c r="M8" i="19"/>
  <c r="M9" i="18"/>
  <c r="M8" i="16"/>
  <c r="N11" i="83"/>
  <c r="C57" i="187"/>
  <c r="C56" i="187"/>
  <c r="C54" i="187"/>
  <c r="C49" i="187"/>
  <c r="C47" i="187"/>
  <c r="C46" i="187"/>
  <c r="C44" i="187"/>
  <c r="C43" i="187"/>
  <c r="C42" i="187"/>
  <c r="C38" i="187"/>
  <c r="C37" i="187"/>
  <c r="C36" i="187"/>
  <c r="C33" i="187"/>
  <c r="C32" i="187"/>
  <c r="C31" i="187"/>
  <c r="C30" i="187"/>
  <c r="C29" i="187"/>
  <c r="C23" i="187"/>
  <c r="C22" i="187"/>
  <c r="C20" i="187"/>
  <c r="C18" i="187"/>
  <c r="C17" i="187"/>
  <c r="C14" i="187"/>
  <c r="C12" i="187"/>
  <c r="C10" i="187"/>
  <c r="C9" i="187"/>
  <c r="C8" i="187"/>
  <c r="C7" i="187"/>
  <c r="C6" i="187"/>
  <c r="C4" i="187"/>
  <c r="T7" i="75" l="1"/>
  <c r="S35" i="75"/>
  <c r="R35" i="75"/>
  <c r="Q56" i="181" s="1"/>
  <c r="M10" i="16"/>
  <c r="N8" i="16"/>
  <c r="O9" i="169"/>
  <c r="O50" i="169" s="1"/>
  <c r="N37" i="181" s="1"/>
  <c r="M11" i="18"/>
  <c r="N9" i="18"/>
  <c r="N10" i="24"/>
  <c r="O7" i="24"/>
  <c r="O35" i="181"/>
  <c r="N8" i="40"/>
  <c r="O7" i="40"/>
  <c r="M14" i="19"/>
  <c r="N8" i="19"/>
  <c r="N14" i="25"/>
  <c r="N9" i="169"/>
  <c r="R56" i="181" l="1"/>
  <c r="S56" i="181" s="1"/>
  <c r="T35" i="75"/>
  <c r="N14" i="19"/>
  <c r="N54" i="19" s="1"/>
  <c r="N9" i="181" s="1"/>
  <c r="P7" i="24"/>
  <c r="Q7" i="24" s="1"/>
  <c r="Q10" i="24" s="1"/>
  <c r="O10" i="24"/>
  <c r="N11" i="18"/>
  <c r="N50" i="18" s="1"/>
  <c r="N8" i="181" s="1"/>
  <c r="N10" i="16"/>
  <c r="O8" i="40"/>
  <c r="P9" i="169"/>
  <c r="P50" i="169" s="1"/>
  <c r="D48" i="185"/>
  <c r="M13" i="181" s="1"/>
  <c r="N47" i="16" l="1"/>
  <c r="P8" i="40"/>
  <c r="P10" i="24"/>
  <c r="L66" i="176"/>
  <c r="M65" i="176"/>
  <c r="N65" i="176" s="1"/>
  <c r="O65" i="176" s="1"/>
  <c r="P65" i="176" s="1"/>
  <c r="Q65" i="176" s="1"/>
  <c r="R65" i="176" s="1"/>
  <c r="S65" i="176" s="1"/>
  <c r="M64" i="176"/>
  <c r="N64" i="176" s="1"/>
  <c r="M63" i="176"/>
  <c r="M62" i="176"/>
  <c r="L59" i="176"/>
  <c r="K58" i="176"/>
  <c r="F58" i="176"/>
  <c r="M56" i="176"/>
  <c r="L54" i="176"/>
  <c r="J54" i="176"/>
  <c r="I54" i="176"/>
  <c r="H54" i="176"/>
  <c r="G54" i="176"/>
  <c r="E54" i="176"/>
  <c r="C54" i="176"/>
  <c r="M52" i="176"/>
  <c r="F52" i="176"/>
  <c r="M12" i="176"/>
  <c r="N50" i="176"/>
  <c r="D50" i="176"/>
  <c r="D54" i="176" s="1"/>
  <c r="M49" i="176"/>
  <c r="M48" i="176"/>
  <c r="F48" i="176"/>
  <c r="M47" i="176"/>
  <c r="N47" i="176" s="1"/>
  <c r="K47" i="176"/>
  <c r="M46" i="176"/>
  <c r="L44" i="176"/>
  <c r="M39" i="176"/>
  <c r="M35" i="176"/>
  <c r="M32" i="176"/>
  <c r="M31" i="176"/>
  <c r="M30" i="176"/>
  <c r="M27" i="176"/>
  <c r="M26" i="176"/>
  <c r="M25" i="176"/>
  <c r="M24" i="176"/>
  <c r="M21" i="176"/>
  <c r="J21" i="176"/>
  <c r="I21" i="176"/>
  <c r="H21" i="176"/>
  <c r="G21" i="176"/>
  <c r="F21" i="176"/>
  <c r="E21" i="176"/>
  <c r="D21" i="176"/>
  <c r="C21" i="176"/>
  <c r="M20" i="176"/>
  <c r="M19" i="176"/>
  <c r="M18" i="176"/>
  <c r="M17" i="176"/>
  <c r="M16" i="176"/>
  <c r="M8" i="176"/>
  <c r="K8" i="176"/>
  <c r="M7" i="176"/>
  <c r="L7" i="176"/>
  <c r="K7" i="176"/>
  <c r="J7" i="176"/>
  <c r="L6" i="176"/>
  <c r="M6" i="176" s="1"/>
  <c r="H6" i="176"/>
  <c r="G6" i="176"/>
  <c r="M5" i="176"/>
  <c r="L5" i="176"/>
  <c r="K5" i="176"/>
  <c r="I5" i="176"/>
  <c r="H5" i="176"/>
  <c r="G5" i="176"/>
  <c r="S66" i="176" l="1"/>
  <c r="T65" i="176"/>
  <c r="C6" i="197"/>
  <c r="M13" i="176"/>
  <c r="K11" i="176"/>
  <c r="F54" i="176"/>
  <c r="N7" i="181"/>
  <c r="O8" i="181"/>
  <c r="L13" i="176"/>
  <c r="L73" i="176" s="1"/>
  <c r="M54" i="176"/>
  <c r="M66" i="176"/>
  <c r="O37" i="181"/>
  <c r="N54" i="176"/>
  <c r="C29" i="191"/>
  <c r="M44" i="176"/>
  <c r="M59" i="176"/>
  <c r="N62" i="176"/>
  <c r="O9" i="181" l="1"/>
  <c r="N66" i="176"/>
  <c r="N73" i="176" s="1"/>
  <c r="M33" i="181" s="1"/>
  <c r="O62" i="176"/>
  <c r="M73" i="176"/>
  <c r="N17" i="41"/>
  <c r="R33" i="181" l="1"/>
  <c r="P62" i="176"/>
  <c r="Q62" i="176" s="1"/>
  <c r="Q66" i="176" s="1"/>
  <c r="Q73" i="176" s="1"/>
  <c r="O66" i="176"/>
  <c r="O73" i="176" s="1"/>
  <c r="N33" i="181" s="1"/>
  <c r="M52" i="184"/>
  <c r="L52" i="184"/>
  <c r="L47" i="184"/>
  <c r="L46" i="184"/>
  <c r="L44" i="184"/>
  <c r="L40" i="184"/>
  <c r="M40" i="184" s="1"/>
  <c r="F39" i="184"/>
  <c r="E39" i="184"/>
  <c r="L38" i="184"/>
  <c r="L35" i="184"/>
  <c r="L34" i="184"/>
  <c r="L33" i="184"/>
  <c r="L32" i="184"/>
  <c r="L31" i="184"/>
  <c r="L22" i="184"/>
  <c r="L21" i="184"/>
  <c r="L19" i="184"/>
  <c r="L18" i="184"/>
  <c r="L17" i="184"/>
  <c r="L16" i="184"/>
  <c r="L15" i="184"/>
  <c r="L8" i="184"/>
  <c r="L5" i="184"/>
  <c r="L46" i="183"/>
  <c r="M45" i="183"/>
  <c r="M46" i="183" s="1"/>
  <c r="L41" i="183"/>
  <c r="L40" i="183"/>
  <c r="L39" i="183"/>
  <c r="L35" i="183"/>
  <c r="M35" i="183" s="1"/>
  <c r="M36" i="183" s="1"/>
  <c r="F34" i="183"/>
  <c r="E34" i="183"/>
  <c r="N33" i="183"/>
  <c r="O33" i="183" s="1"/>
  <c r="L33" i="183"/>
  <c r="L30" i="183"/>
  <c r="N29" i="183"/>
  <c r="O29" i="183" s="1"/>
  <c r="P29" i="183" s="1"/>
  <c r="Q29" i="183" s="1"/>
  <c r="L29" i="183"/>
  <c r="N28" i="183"/>
  <c r="O28" i="183" s="1"/>
  <c r="L28" i="183"/>
  <c r="L27" i="183"/>
  <c r="M22" i="183"/>
  <c r="M20" i="183"/>
  <c r="N19" i="183"/>
  <c r="O19" i="183" s="1"/>
  <c r="P19" i="183" s="1"/>
  <c r="L19" i="183"/>
  <c r="L18" i="183"/>
  <c r="M17" i="183"/>
  <c r="N16" i="183"/>
  <c r="L16" i="183"/>
  <c r="N15" i="183"/>
  <c r="O15" i="183" s="1"/>
  <c r="L15" i="183"/>
  <c r="L14" i="183"/>
  <c r="N13" i="183"/>
  <c r="L13" i="183"/>
  <c r="L12" i="183"/>
  <c r="L7" i="183"/>
  <c r="L5" i="183"/>
  <c r="C47" i="182"/>
  <c r="N35" i="41"/>
  <c r="N31" i="41"/>
  <c r="O31" i="41" s="1"/>
  <c r="P31" i="41" s="1"/>
  <c r="Q31" i="41" s="1"/>
  <c r="R31" i="41" s="1"/>
  <c r="N30" i="41"/>
  <c r="N20" i="41"/>
  <c r="O20" i="41" s="1"/>
  <c r="N19" i="41"/>
  <c r="O19" i="41" s="1"/>
  <c r="P19" i="41" s="1"/>
  <c r="Q19" i="41" s="1"/>
  <c r="R19" i="41" s="1"/>
  <c r="S19" i="41" s="1"/>
  <c r="T19" i="41" s="1"/>
  <c r="N15" i="41"/>
  <c r="N14" i="41"/>
  <c r="N11" i="41"/>
  <c r="O11" i="41" s="1"/>
  <c r="N6" i="28"/>
  <c r="M9" i="17"/>
  <c r="R33" i="41" l="1"/>
  <c r="S31" i="41"/>
  <c r="P33" i="181"/>
  <c r="L36" i="183"/>
  <c r="R29" i="183"/>
  <c r="Q31" i="183"/>
  <c r="R62" i="176"/>
  <c r="L41" i="184"/>
  <c r="L36" i="184"/>
  <c r="C34" i="187"/>
  <c r="O15" i="41"/>
  <c r="P15" i="41" s="1"/>
  <c r="N33" i="41"/>
  <c r="O30" i="41"/>
  <c r="N39" i="41"/>
  <c r="O35" i="41"/>
  <c r="L25" i="183"/>
  <c r="P33" i="183"/>
  <c r="Q33" i="183" s="1"/>
  <c r="L43" i="183"/>
  <c r="L29" i="184"/>
  <c r="L49" i="184"/>
  <c r="P15" i="183"/>
  <c r="O25" i="183"/>
  <c r="P28" i="183"/>
  <c r="O31" i="183"/>
  <c r="M41" i="184"/>
  <c r="M58" i="184" s="1"/>
  <c r="L59" i="181" s="1"/>
  <c r="N40" i="184"/>
  <c r="N41" i="184" s="1"/>
  <c r="N58" i="184" s="1"/>
  <c r="P66" i="176"/>
  <c r="N13" i="28"/>
  <c r="O6" i="28"/>
  <c r="O23" i="184"/>
  <c r="P23" i="184" s="1"/>
  <c r="Q23" i="184" s="1"/>
  <c r="R23" i="184" s="1"/>
  <c r="S23" i="184" s="1"/>
  <c r="O32" i="184"/>
  <c r="P32" i="184" s="1"/>
  <c r="O34" i="184"/>
  <c r="P34" i="184" s="1"/>
  <c r="Q34" i="184" s="1"/>
  <c r="R34" i="184" s="1"/>
  <c r="O35" i="184"/>
  <c r="P35" i="184" s="1"/>
  <c r="Q35" i="184" s="1"/>
  <c r="R35" i="184" s="1"/>
  <c r="S35" i="184" s="1"/>
  <c r="O17" i="184"/>
  <c r="O18" i="184"/>
  <c r="P18" i="184" s="1"/>
  <c r="Q18" i="184" s="1"/>
  <c r="M12" i="17"/>
  <c r="N25" i="183"/>
  <c r="N31" i="183"/>
  <c r="L31" i="183"/>
  <c r="C55" i="187"/>
  <c r="L9" i="183"/>
  <c r="C35" i="187"/>
  <c r="C48" i="182"/>
  <c r="C55" i="182" s="1"/>
  <c r="L60" i="181" s="1"/>
  <c r="C19" i="187"/>
  <c r="M25" i="183"/>
  <c r="M50" i="183" s="1"/>
  <c r="L22" i="181" s="1"/>
  <c r="L12" i="184"/>
  <c r="N35" i="183"/>
  <c r="O35" i="183" s="1"/>
  <c r="P35" i="183" s="1"/>
  <c r="Q35" i="183" s="1"/>
  <c r="R35" i="183" s="1"/>
  <c r="S35" i="183" s="1"/>
  <c r="T35" i="183" s="1"/>
  <c r="O20" i="53"/>
  <c r="N16" i="178"/>
  <c r="O16" i="178" s="1"/>
  <c r="N16" i="169"/>
  <c r="O32" i="38"/>
  <c r="P32" i="38" s="1"/>
  <c r="O18" i="38"/>
  <c r="P18" i="38" s="1"/>
  <c r="Q18" i="38" s="1"/>
  <c r="R18" i="38" s="1"/>
  <c r="S18" i="38" s="1"/>
  <c r="T18" i="38" s="1"/>
  <c r="U18" i="38" s="1"/>
  <c r="N27" i="35"/>
  <c r="N16" i="35"/>
  <c r="O16" i="35" s="1"/>
  <c r="I15" i="92"/>
  <c r="J56" i="181"/>
  <c r="I56" i="181"/>
  <c r="H56" i="181"/>
  <c r="J55" i="181"/>
  <c r="I55" i="181"/>
  <c r="H55" i="181"/>
  <c r="F55" i="181"/>
  <c r="E55" i="181"/>
  <c r="D55" i="181"/>
  <c r="K53" i="181"/>
  <c r="J53" i="181"/>
  <c r="I53" i="181"/>
  <c r="H53" i="181"/>
  <c r="F53" i="181"/>
  <c r="E53" i="181"/>
  <c r="D53" i="181"/>
  <c r="K52" i="181"/>
  <c r="J52" i="181"/>
  <c r="I52" i="181"/>
  <c r="H52" i="181"/>
  <c r="F52" i="181"/>
  <c r="E52" i="181"/>
  <c r="D52" i="181"/>
  <c r="J51" i="181"/>
  <c r="I51" i="181"/>
  <c r="H51" i="181"/>
  <c r="F51" i="181"/>
  <c r="E51" i="181"/>
  <c r="D51" i="181"/>
  <c r="J50" i="181"/>
  <c r="I50" i="181"/>
  <c r="H50" i="181"/>
  <c r="F50" i="181"/>
  <c r="E50" i="181"/>
  <c r="D50" i="181"/>
  <c r="J49" i="181"/>
  <c r="I49" i="181"/>
  <c r="H49" i="181"/>
  <c r="F49" i="181"/>
  <c r="E49" i="181"/>
  <c r="D49" i="181"/>
  <c r="K48" i="181"/>
  <c r="J48" i="181"/>
  <c r="I48" i="181"/>
  <c r="H48" i="181"/>
  <c r="F48" i="181"/>
  <c r="E48" i="181"/>
  <c r="D48" i="181"/>
  <c r="K46" i="181"/>
  <c r="J46" i="181"/>
  <c r="I46" i="181"/>
  <c r="H46" i="181"/>
  <c r="F46" i="181"/>
  <c r="E46" i="181"/>
  <c r="D46" i="181"/>
  <c r="J44" i="181"/>
  <c r="I44" i="181"/>
  <c r="H44" i="181"/>
  <c r="F44" i="181"/>
  <c r="E44" i="181"/>
  <c r="D44" i="181"/>
  <c r="K41" i="181"/>
  <c r="J41" i="181"/>
  <c r="I41" i="181"/>
  <c r="H41" i="181"/>
  <c r="F41" i="181"/>
  <c r="E41" i="181"/>
  <c r="D41" i="181"/>
  <c r="J40" i="181"/>
  <c r="I40" i="181"/>
  <c r="H40" i="181"/>
  <c r="F40" i="181"/>
  <c r="E40" i="181"/>
  <c r="D40" i="181"/>
  <c r="K39" i="181"/>
  <c r="J39" i="181"/>
  <c r="I39" i="181"/>
  <c r="H39" i="181"/>
  <c r="F39" i="181"/>
  <c r="E39" i="181"/>
  <c r="D39" i="181"/>
  <c r="J37" i="181"/>
  <c r="I37" i="181"/>
  <c r="H37" i="181"/>
  <c r="F37" i="181"/>
  <c r="E37" i="181"/>
  <c r="D37" i="181"/>
  <c r="J36" i="181"/>
  <c r="I36" i="181"/>
  <c r="H36" i="181"/>
  <c r="F36" i="181"/>
  <c r="E36" i="181"/>
  <c r="D36" i="181"/>
  <c r="K35" i="181"/>
  <c r="J33" i="181"/>
  <c r="I33" i="181"/>
  <c r="H33" i="181"/>
  <c r="F33" i="181"/>
  <c r="E33" i="181"/>
  <c r="D33" i="181"/>
  <c r="J32" i="181"/>
  <c r="I32" i="181"/>
  <c r="H32" i="181"/>
  <c r="F32" i="181"/>
  <c r="E32" i="181"/>
  <c r="D32" i="181"/>
  <c r="J31" i="181"/>
  <c r="I31" i="181"/>
  <c r="H31" i="181"/>
  <c r="F31" i="181"/>
  <c r="E31" i="181"/>
  <c r="D31" i="181"/>
  <c r="J30" i="181"/>
  <c r="I30" i="181"/>
  <c r="H30" i="181"/>
  <c r="F30" i="181"/>
  <c r="E30" i="181"/>
  <c r="D30" i="181"/>
  <c r="H29" i="181"/>
  <c r="F29" i="181"/>
  <c r="E29" i="181"/>
  <c r="D29" i="181"/>
  <c r="J24" i="181"/>
  <c r="I24" i="181"/>
  <c r="H24" i="181"/>
  <c r="J23" i="181"/>
  <c r="I23" i="181"/>
  <c r="H23" i="181"/>
  <c r="F23" i="181"/>
  <c r="E23" i="181"/>
  <c r="D23" i="181"/>
  <c r="K22" i="181"/>
  <c r="J22" i="181"/>
  <c r="I22" i="181"/>
  <c r="H22" i="181"/>
  <c r="F22" i="181"/>
  <c r="E22" i="181"/>
  <c r="D22" i="181"/>
  <c r="J19" i="181"/>
  <c r="I19" i="181"/>
  <c r="H19" i="181"/>
  <c r="F19" i="181"/>
  <c r="E19" i="181"/>
  <c r="D19" i="181"/>
  <c r="J18" i="181"/>
  <c r="I18" i="181"/>
  <c r="H18" i="181"/>
  <c r="F18" i="181"/>
  <c r="E18" i="181"/>
  <c r="D18" i="181"/>
  <c r="J16" i="181"/>
  <c r="I16" i="181"/>
  <c r="H16" i="181"/>
  <c r="F16" i="181"/>
  <c r="E16" i="181"/>
  <c r="D16" i="181"/>
  <c r="J12" i="181"/>
  <c r="I12" i="181"/>
  <c r="H12" i="181"/>
  <c r="F12" i="181"/>
  <c r="E12" i="181"/>
  <c r="D12" i="181"/>
  <c r="J11" i="181"/>
  <c r="I11" i="181"/>
  <c r="H11" i="181"/>
  <c r="G11" i="181"/>
  <c r="F11" i="181"/>
  <c r="E11" i="181"/>
  <c r="D11" i="181"/>
  <c r="J10" i="181"/>
  <c r="I10" i="181"/>
  <c r="H10" i="181"/>
  <c r="F10" i="181"/>
  <c r="E10" i="181"/>
  <c r="D10" i="181"/>
  <c r="J9" i="181"/>
  <c r="I9" i="181"/>
  <c r="H9" i="181"/>
  <c r="F9" i="181"/>
  <c r="E9" i="181"/>
  <c r="D9" i="181"/>
  <c r="J8" i="181"/>
  <c r="I8" i="181"/>
  <c r="H8" i="181"/>
  <c r="F8" i="181"/>
  <c r="E8" i="181"/>
  <c r="D8" i="181"/>
  <c r="J7" i="181"/>
  <c r="I7" i="181"/>
  <c r="H7" i="181"/>
  <c r="G7" i="181"/>
  <c r="F7" i="181"/>
  <c r="E7" i="181"/>
  <c r="D7" i="181"/>
  <c r="J6" i="181"/>
  <c r="I6" i="181"/>
  <c r="H6" i="181"/>
  <c r="G6" i="181"/>
  <c r="F6" i="181"/>
  <c r="E6" i="181"/>
  <c r="D6" i="181"/>
  <c r="F5" i="181"/>
  <c r="E5" i="181"/>
  <c r="D5" i="181"/>
  <c r="I3" i="181"/>
  <c r="H3" i="181"/>
  <c r="E3" i="181"/>
  <c r="D3" i="181"/>
  <c r="I2" i="181"/>
  <c r="H2" i="181"/>
  <c r="G2" i="181"/>
  <c r="F2" i="181"/>
  <c r="E2" i="181"/>
  <c r="D2" i="181"/>
  <c r="C53" i="187"/>
  <c r="C52" i="187"/>
  <c r="S18" i="184" l="1"/>
  <c r="R66" i="176"/>
  <c r="T66" i="176" s="1"/>
  <c r="T62" i="176"/>
  <c r="R31" i="183"/>
  <c r="S29" i="183"/>
  <c r="S33" i="41"/>
  <c r="G39" i="214" s="1"/>
  <c r="T31" i="41"/>
  <c r="R36" i="184"/>
  <c r="G59" i="214" s="1"/>
  <c r="S34" i="184"/>
  <c r="P36" i="184"/>
  <c r="Q36" i="184"/>
  <c r="R33" i="183"/>
  <c r="Q36" i="183"/>
  <c r="O29" i="184"/>
  <c r="P17" i="184"/>
  <c r="P29" i="184" s="1"/>
  <c r="O26" i="53"/>
  <c r="O51" i="53" s="1"/>
  <c r="P20" i="53"/>
  <c r="P26" i="53" s="1"/>
  <c r="P51" i="53" s="1"/>
  <c r="P50" i="181" s="1"/>
  <c r="P31" i="183"/>
  <c r="P25" i="183"/>
  <c r="Q15" i="183"/>
  <c r="Q25" i="183" s="1"/>
  <c r="P26" i="41"/>
  <c r="Q15" i="41"/>
  <c r="Q26" i="41" s="1"/>
  <c r="O36" i="184"/>
  <c r="P36" i="183"/>
  <c r="L50" i="183"/>
  <c r="O26" i="41"/>
  <c r="L58" i="184"/>
  <c r="M59" i="181"/>
  <c r="N59" i="181"/>
  <c r="Q32" i="38"/>
  <c r="R32" i="38" s="1"/>
  <c r="R35" i="38" s="1"/>
  <c r="P35" i="38"/>
  <c r="O13" i="28"/>
  <c r="O59" i="28" s="1"/>
  <c r="N18" i="181" s="1"/>
  <c r="O39" i="41"/>
  <c r="P30" i="41"/>
  <c r="O33" i="41"/>
  <c r="P16" i="35"/>
  <c r="P73" i="176"/>
  <c r="O36" i="183"/>
  <c r="O50" i="183" s="1"/>
  <c r="N22" i="181" s="1"/>
  <c r="C50" i="187"/>
  <c r="O40" i="184"/>
  <c r="N36" i="183"/>
  <c r="N50" i="183" s="1"/>
  <c r="M22" i="181" s="1"/>
  <c r="K65" i="181"/>
  <c r="Q33" i="181" l="1"/>
  <c r="S33" i="181" s="1"/>
  <c r="T29" i="183"/>
  <c r="S31" i="183"/>
  <c r="R36" i="183"/>
  <c r="T73" i="176"/>
  <c r="S36" i="184"/>
  <c r="T33" i="41"/>
  <c r="Q50" i="183"/>
  <c r="P22" i="181" s="1"/>
  <c r="Q20" i="53"/>
  <c r="R20" i="53" s="1"/>
  <c r="R15" i="183"/>
  <c r="S15" i="183" s="1"/>
  <c r="R15" i="41"/>
  <c r="S15" i="41" s="1"/>
  <c r="Q17" i="184"/>
  <c r="P50" i="183"/>
  <c r="O41" i="184"/>
  <c r="O58" i="184" s="1"/>
  <c r="P40" i="184"/>
  <c r="P41" i="184" s="1"/>
  <c r="P58" i="184" s="1"/>
  <c r="P33" i="41"/>
  <c r="P57" i="41" s="1"/>
  <c r="Q30" i="41"/>
  <c r="Q33" i="41" s="1"/>
  <c r="Q57" i="41" s="1"/>
  <c r="P39" i="181" s="1"/>
  <c r="O33" i="181"/>
  <c r="O57" i="41"/>
  <c r="N39" i="181" s="1"/>
  <c r="P13" i="28"/>
  <c r="Q35" i="38"/>
  <c r="O50" i="181"/>
  <c r="N36" i="170"/>
  <c r="N38" i="170" s="1"/>
  <c r="N31" i="170"/>
  <c r="N33" i="170" s="1"/>
  <c r="N21" i="170"/>
  <c r="N13" i="170"/>
  <c r="N12" i="41"/>
  <c r="N26" i="41" s="1"/>
  <c r="N32" i="40"/>
  <c r="N19" i="40"/>
  <c r="N11" i="40"/>
  <c r="N26" i="169"/>
  <c r="N27" i="169" s="1"/>
  <c r="N19" i="169"/>
  <c r="N17" i="169"/>
  <c r="N12" i="169"/>
  <c r="O46" i="38"/>
  <c r="O39" i="38"/>
  <c r="O34" i="38"/>
  <c r="O20" i="38"/>
  <c r="N29" i="35"/>
  <c r="N30" i="35" s="1"/>
  <c r="N24" i="35"/>
  <c r="N18" i="35"/>
  <c r="N14" i="35"/>
  <c r="C28" i="187" s="1"/>
  <c r="N12" i="35"/>
  <c r="N11" i="35"/>
  <c r="N35" i="168"/>
  <c r="N34" i="168"/>
  <c r="N31" i="168"/>
  <c r="N30" i="168"/>
  <c r="N9" i="168"/>
  <c r="N28" i="168"/>
  <c r="N27" i="168"/>
  <c r="N22" i="168"/>
  <c r="N18" i="168"/>
  <c r="N15" i="168"/>
  <c r="N14" i="168"/>
  <c r="N13" i="168"/>
  <c r="N5" i="168"/>
  <c r="N7" i="168" s="1"/>
  <c r="N32" i="165"/>
  <c r="N27" i="165"/>
  <c r="N21" i="165"/>
  <c r="N20" i="165"/>
  <c r="N18" i="165"/>
  <c r="N13" i="165"/>
  <c r="N41" i="162"/>
  <c r="N35" i="162"/>
  <c r="N34" i="162"/>
  <c r="N26" i="162"/>
  <c r="N23" i="162"/>
  <c r="N22" i="162"/>
  <c r="N17" i="162"/>
  <c r="N14" i="162"/>
  <c r="L38" i="163"/>
  <c r="L37" i="163"/>
  <c r="L34" i="163"/>
  <c r="L11" i="163"/>
  <c r="L32" i="163"/>
  <c r="L31" i="163"/>
  <c r="L29" i="163"/>
  <c r="L24" i="163"/>
  <c r="L23" i="163"/>
  <c r="L22" i="163"/>
  <c r="L21" i="163"/>
  <c r="L18" i="163"/>
  <c r="L16" i="163"/>
  <c r="L15" i="163"/>
  <c r="J33" i="92"/>
  <c r="J30" i="92"/>
  <c r="J11" i="92"/>
  <c r="J28" i="92"/>
  <c r="J26" i="92"/>
  <c r="J22" i="92"/>
  <c r="J21" i="92"/>
  <c r="J20" i="92"/>
  <c r="J16" i="92"/>
  <c r="J15" i="92"/>
  <c r="J7" i="92"/>
  <c r="T31" i="183" l="1"/>
  <c r="G22" i="214"/>
  <c r="Q29" i="184"/>
  <c r="R17" i="184"/>
  <c r="R29" i="184" s="1"/>
  <c r="F59" i="214" s="1"/>
  <c r="R25" i="183"/>
  <c r="S36" i="183"/>
  <c r="H22" i="214" s="1"/>
  <c r="T33" i="183"/>
  <c r="S26" i="41"/>
  <c r="T15" i="41"/>
  <c r="R26" i="53"/>
  <c r="R51" i="53" s="1"/>
  <c r="S20" i="53"/>
  <c r="R50" i="183"/>
  <c r="Q22" i="181" s="1"/>
  <c r="Q26" i="53"/>
  <c r="Q51" i="53" s="1"/>
  <c r="R26" i="41"/>
  <c r="R57" i="41" s="1"/>
  <c r="Q40" i="184"/>
  <c r="L39" i="163"/>
  <c r="N22" i="169"/>
  <c r="N50" i="169" s="1"/>
  <c r="M37" i="181" s="1"/>
  <c r="N32" i="168"/>
  <c r="O22" i="181"/>
  <c r="P59" i="28"/>
  <c r="N57" i="41"/>
  <c r="M39" i="181" s="1"/>
  <c r="C39" i="187"/>
  <c r="J35" i="92"/>
  <c r="D4" i="206"/>
  <c r="J9" i="92"/>
  <c r="C3" i="206"/>
  <c r="D3" i="206" s="1"/>
  <c r="N26" i="170"/>
  <c r="N37" i="168"/>
  <c r="O40" i="38"/>
  <c r="O35" i="38"/>
  <c r="N38" i="31"/>
  <c r="N37" i="31"/>
  <c r="N34" i="31"/>
  <c r="N8" i="31"/>
  <c r="N32" i="31"/>
  <c r="N31" i="31"/>
  <c r="N22" i="31"/>
  <c r="N21" i="31"/>
  <c r="N20" i="31"/>
  <c r="N13" i="31"/>
  <c r="O28" i="114"/>
  <c r="O31" i="114" s="1"/>
  <c r="O25" i="114"/>
  <c r="N31" i="116"/>
  <c r="N33" i="116" s="1"/>
  <c r="N17" i="116"/>
  <c r="N26" i="116" s="1"/>
  <c r="M37" i="175"/>
  <c r="M36" i="175"/>
  <c r="M33" i="175"/>
  <c r="M32" i="175"/>
  <c r="M26" i="175"/>
  <c r="M25" i="175"/>
  <c r="M23" i="175"/>
  <c r="M17" i="175"/>
  <c r="N39" i="28"/>
  <c r="N46" i="28"/>
  <c r="N47" i="28" s="1"/>
  <c r="N34" i="28"/>
  <c r="N32" i="28"/>
  <c r="N31" i="28"/>
  <c r="N22" i="28"/>
  <c r="N18" i="28"/>
  <c r="N17" i="28"/>
  <c r="N16" i="28"/>
  <c r="N37" i="21"/>
  <c r="N36" i="21"/>
  <c r="N32" i="21"/>
  <c r="N31" i="21"/>
  <c r="N23" i="21"/>
  <c r="N22" i="21"/>
  <c r="N17" i="21"/>
  <c r="N14" i="21"/>
  <c r="N36" i="25"/>
  <c r="N35" i="25"/>
  <c r="N32" i="25"/>
  <c r="N23" i="25"/>
  <c r="N18" i="25"/>
  <c r="N17" i="25"/>
  <c r="N39" i="24"/>
  <c r="N38" i="24"/>
  <c r="N35" i="24"/>
  <c r="N34" i="24"/>
  <c r="N32" i="24"/>
  <c r="N26" i="24"/>
  <c r="N25" i="24"/>
  <c r="N22" i="24"/>
  <c r="N21" i="24"/>
  <c r="N17" i="24"/>
  <c r="C13" i="187" s="1"/>
  <c r="N16" i="24"/>
  <c r="N14" i="24"/>
  <c r="N13" i="24"/>
  <c r="N39" i="100"/>
  <c r="N38" i="100"/>
  <c r="N35" i="100"/>
  <c r="N34" i="100"/>
  <c r="N12" i="100"/>
  <c r="N32" i="100"/>
  <c r="N31" i="100"/>
  <c r="N29" i="100"/>
  <c r="N24" i="100"/>
  <c r="N19" i="100"/>
  <c r="N16" i="100"/>
  <c r="L44" i="59"/>
  <c r="M44" i="59" s="1"/>
  <c r="L39" i="59"/>
  <c r="M39" i="59" s="1"/>
  <c r="L36" i="59"/>
  <c r="L27" i="59"/>
  <c r="M27" i="59" s="1"/>
  <c r="L25" i="59"/>
  <c r="M25" i="59" s="1"/>
  <c r="N25" i="59" s="1"/>
  <c r="O25" i="59" s="1"/>
  <c r="P25" i="59" s="1"/>
  <c r="L21" i="59"/>
  <c r="M21" i="59" s="1"/>
  <c r="L20" i="59"/>
  <c r="M20" i="59" s="1"/>
  <c r="L18" i="59"/>
  <c r="M18" i="59" s="1"/>
  <c r="L17" i="59"/>
  <c r="M17" i="59" s="1"/>
  <c r="N17" i="59" s="1"/>
  <c r="O17" i="59" s="1"/>
  <c r="M37" i="19"/>
  <c r="M36" i="19"/>
  <c r="M32" i="19"/>
  <c r="M31" i="19"/>
  <c r="M22" i="19"/>
  <c r="M21" i="19"/>
  <c r="M18" i="19"/>
  <c r="M17" i="19"/>
  <c r="M38" i="18"/>
  <c r="M40" i="18" s="1"/>
  <c r="M24" i="18"/>
  <c r="M23" i="18"/>
  <c r="M17" i="18"/>
  <c r="M36" i="16"/>
  <c r="M35" i="16"/>
  <c r="M31" i="16"/>
  <c r="M30" i="16"/>
  <c r="M22" i="16"/>
  <c r="M21" i="16"/>
  <c r="M16" i="16"/>
  <c r="M35" i="17"/>
  <c r="M34" i="17"/>
  <c r="M23" i="17"/>
  <c r="M18" i="17"/>
  <c r="N48" i="83"/>
  <c r="N32" i="83"/>
  <c r="N23" i="83"/>
  <c r="N22" i="83"/>
  <c r="N18" i="83"/>
  <c r="N17" i="83"/>
  <c r="N14" i="83"/>
  <c r="I30" i="91"/>
  <c r="I33" i="91" s="1"/>
  <c r="I27" i="91"/>
  <c r="I26" i="91"/>
  <c r="L32" i="169"/>
  <c r="L43" i="169"/>
  <c r="M38" i="169"/>
  <c r="M37" i="169"/>
  <c r="K37" i="169"/>
  <c r="K38" i="169" s="1"/>
  <c r="J37" i="169"/>
  <c r="I37" i="169"/>
  <c r="H37" i="169"/>
  <c r="G37" i="169"/>
  <c r="F37" i="169"/>
  <c r="E37" i="169"/>
  <c r="D37" i="169"/>
  <c r="C37" i="169"/>
  <c r="J38" i="174"/>
  <c r="J37" i="174"/>
  <c r="K37" i="174" s="1"/>
  <c r="L37" i="174" s="1"/>
  <c r="M13" i="31"/>
  <c r="M14" i="31"/>
  <c r="F50" i="214" l="1"/>
  <c r="F39" i="214"/>
  <c r="S57" i="41"/>
  <c r="T57" i="41" s="1"/>
  <c r="T15" i="183"/>
  <c r="S25" i="183"/>
  <c r="S17" i="184"/>
  <c r="S29" i="184"/>
  <c r="R25" i="59"/>
  <c r="Q41" i="184"/>
  <c r="R40" i="184"/>
  <c r="S26" i="53"/>
  <c r="T26" i="41"/>
  <c r="T36" i="183"/>
  <c r="Q39" i="181"/>
  <c r="Q58" i="184"/>
  <c r="Q59" i="181" s="1"/>
  <c r="Q50" i="181"/>
  <c r="P59" i="181"/>
  <c r="N27" i="25"/>
  <c r="N39" i="21"/>
  <c r="N41" i="24"/>
  <c r="N27" i="21"/>
  <c r="L41" i="174"/>
  <c r="M37" i="174"/>
  <c r="M41" i="59"/>
  <c r="M28" i="18"/>
  <c r="N44" i="59"/>
  <c r="M45" i="59"/>
  <c r="O59" i="181"/>
  <c r="O18" i="181"/>
  <c r="O39" i="181"/>
  <c r="M27" i="19"/>
  <c r="M39" i="19"/>
  <c r="C15" i="187"/>
  <c r="N40" i="28"/>
  <c r="L45" i="59"/>
  <c r="C11" i="187"/>
  <c r="N49" i="116"/>
  <c r="M20" i="181" s="1"/>
  <c r="N41" i="100"/>
  <c r="N37" i="25"/>
  <c r="N27" i="28"/>
  <c r="M28" i="175"/>
  <c r="M39" i="175"/>
  <c r="M43" i="169"/>
  <c r="C5" i="187"/>
  <c r="C6" i="206"/>
  <c r="D6" i="206" s="1"/>
  <c r="M38" i="16"/>
  <c r="N36" i="28"/>
  <c r="N40" i="31"/>
  <c r="N6" i="63"/>
  <c r="M29" i="31"/>
  <c r="M45" i="31"/>
  <c r="M38" i="31"/>
  <c r="M34" i="31"/>
  <c r="M8" i="31"/>
  <c r="M32" i="31"/>
  <c r="M31" i="31"/>
  <c r="M22" i="31"/>
  <c r="M20" i="31"/>
  <c r="M18" i="31"/>
  <c r="N18" i="31" s="1"/>
  <c r="Q18" i="31" s="1"/>
  <c r="M17" i="31"/>
  <c r="L50" i="17"/>
  <c r="L44" i="17"/>
  <c r="L40" i="17"/>
  <c r="L39" i="17"/>
  <c r="L38" i="17"/>
  <c r="L34" i="17"/>
  <c r="L33" i="17"/>
  <c r="L26" i="17"/>
  <c r="L24" i="17"/>
  <c r="L23" i="17"/>
  <c r="L21" i="17"/>
  <c r="M21" i="17" s="1"/>
  <c r="L18" i="17"/>
  <c r="L17" i="17"/>
  <c r="L5" i="17"/>
  <c r="N23" i="38"/>
  <c r="N24" i="38"/>
  <c r="M8" i="162"/>
  <c r="M30" i="40"/>
  <c r="M14" i="169"/>
  <c r="T25" i="183" l="1"/>
  <c r="F22" i="214"/>
  <c r="S50" i="183"/>
  <c r="T50" i="183" s="1"/>
  <c r="R39" i="181"/>
  <c r="S39" i="181" s="1"/>
  <c r="R50" i="181"/>
  <c r="S50" i="181" s="1"/>
  <c r="S51" i="53"/>
  <c r="R41" i="184"/>
  <c r="S40" i="184"/>
  <c r="N45" i="59"/>
  <c r="O44" i="59"/>
  <c r="O45" i="59" s="1"/>
  <c r="M41" i="174"/>
  <c r="N37" i="174"/>
  <c r="N59" i="28"/>
  <c r="M18" i="181" s="1"/>
  <c r="R18" i="31"/>
  <c r="S18" i="31" s="1"/>
  <c r="N30" i="40"/>
  <c r="M11" i="162"/>
  <c r="N29" i="31"/>
  <c r="M33" i="17"/>
  <c r="M36" i="17" s="1"/>
  <c r="L41" i="17"/>
  <c r="L51" i="17"/>
  <c r="N8" i="63"/>
  <c r="M17" i="24"/>
  <c r="M14" i="21"/>
  <c r="L8" i="17"/>
  <c r="K27" i="19"/>
  <c r="K44" i="19"/>
  <c r="J50" i="19"/>
  <c r="H59" i="214" l="1"/>
  <c r="R58" i="184"/>
  <c r="R22" i="181"/>
  <c r="S22" i="181" s="1"/>
  <c r="S41" i="184"/>
  <c r="N41" i="174"/>
  <c r="T18" i="31"/>
  <c r="U18" i="31" s="1"/>
  <c r="U26" i="31" s="1"/>
  <c r="P44" i="59"/>
  <c r="N34" i="40"/>
  <c r="L12" i="17"/>
  <c r="M30" i="171"/>
  <c r="M20" i="165"/>
  <c r="M37" i="83"/>
  <c r="L26" i="18"/>
  <c r="M41" i="25"/>
  <c r="F23" i="214" l="1"/>
  <c r="U55" i="31"/>
  <c r="V18" i="31"/>
  <c r="R59" i="181"/>
  <c r="S58" i="184"/>
  <c r="P45" i="59"/>
  <c r="Q44" i="59"/>
  <c r="M7" i="25"/>
  <c r="K11" i="163"/>
  <c r="J11" i="163"/>
  <c r="K34" i="163"/>
  <c r="J34" i="163"/>
  <c r="M28" i="165"/>
  <c r="S59" i="181" l="1"/>
  <c r="R65" i="181"/>
  <c r="R44" i="59"/>
  <c r="Q45" i="59"/>
  <c r="M25" i="28"/>
  <c r="R45" i="59" l="1"/>
  <c r="H11" i="214"/>
  <c r="H65" i="214" s="1"/>
  <c r="R23" i="181"/>
  <c r="D38" i="119"/>
  <c r="C38" i="119"/>
  <c r="E35" i="119"/>
  <c r="D35" i="119"/>
  <c r="C35" i="119"/>
  <c r="F33" i="119"/>
  <c r="E33" i="119"/>
  <c r="D33" i="119"/>
  <c r="C33" i="119"/>
  <c r="D31" i="119"/>
  <c r="C31" i="119"/>
  <c r="F30" i="119"/>
  <c r="E30" i="119"/>
  <c r="D30" i="119"/>
  <c r="C30" i="119"/>
  <c r="F29" i="119"/>
  <c r="E29" i="119"/>
  <c r="D29" i="119"/>
  <c r="C29" i="119"/>
  <c r="F26" i="119"/>
  <c r="F19" i="119"/>
  <c r="D19" i="119"/>
  <c r="C9" i="119"/>
  <c r="E5" i="119"/>
  <c r="C5" i="119"/>
  <c r="N20" i="75"/>
  <c r="O23" i="75" s="1"/>
  <c r="O35" i="75" s="1"/>
  <c r="M8" i="170"/>
  <c r="M21" i="177"/>
  <c r="M33" i="100"/>
  <c r="M4" i="168"/>
  <c r="M56" i="181" l="1"/>
  <c r="N56" i="181"/>
  <c r="K18" i="126"/>
  <c r="M29" i="168"/>
  <c r="I7" i="92"/>
  <c r="I9" i="92" s="1"/>
  <c r="J52" i="59" l="1"/>
  <c r="K51" i="59"/>
  <c r="K50" i="59"/>
  <c r="K48" i="59"/>
  <c r="L48" i="59" s="1"/>
  <c r="M48" i="59" s="1"/>
  <c r="J45" i="59"/>
  <c r="K44" i="59"/>
  <c r="K45" i="59" s="1"/>
  <c r="J41" i="59"/>
  <c r="K13" i="59"/>
  <c r="K39" i="59"/>
  <c r="K36" i="59"/>
  <c r="I36" i="59"/>
  <c r="H36" i="59"/>
  <c r="G36" i="59"/>
  <c r="F36" i="59"/>
  <c r="E36" i="59"/>
  <c r="D36" i="59"/>
  <c r="C36" i="59"/>
  <c r="J34" i="59"/>
  <c r="K29" i="59"/>
  <c r="K27" i="59"/>
  <c r="K25" i="59"/>
  <c r="I23" i="59"/>
  <c r="I45" i="59" s="1"/>
  <c r="H23" i="59"/>
  <c r="H45" i="59" s="1"/>
  <c r="G23" i="59"/>
  <c r="G45" i="59" s="1"/>
  <c r="F23" i="59"/>
  <c r="F45" i="59" s="1"/>
  <c r="E23" i="59"/>
  <c r="E45" i="59" s="1"/>
  <c r="D23" i="59"/>
  <c r="D45" i="59" s="1"/>
  <c r="C23" i="59"/>
  <c r="C45" i="59" s="1"/>
  <c r="K21" i="59"/>
  <c r="K20" i="59"/>
  <c r="K19" i="59"/>
  <c r="L19" i="59" s="1"/>
  <c r="K18" i="59"/>
  <c r="K17" i="59"/>
  <c r="J14" i="59"/>
  <c r="D14" i="59"/>
  <c r="D12" i="59"/>
  <c r="I5" i="59"/>
  <c r="H5" i="59"/>
  <c r="G5" i="59"/>
  <c r="F5" i="59"/>
  <c r="K4" i="59"/>
  <c r="K14" i="59" s="1"/>
  <c r="I3" i="59"/>
  <c r="H3" i="59"/>
  <c r="K34" i="59" l="1"/>
  <c r="N48" i="59"/>
  <c r="O48" i="59" s="1"/>
  <c r="O56" i="181"/>
  <c r="L41" i="59"/>
  <c r="L51" i="59"/>
  <c r="M51" i="59" s="1"/>
  <c r="N51" i="59" s="1"/>
  <c r="O51" i="59" s="1"/>
  <c r="P51" i="59" s="1"/>
  <c r="Q51" i="59" s="1"/>
  <c r="R51" i="59" s="1"/>
  <c r="L50" i="59"/>
  <c r="M50" i="59" s="1"/>
  <c r="N50" i="59" s="1"/>
  <c r="O50" i="59" s="1"/>
  <c r="P50" i="59" s="1"/>
  <c r="K52" i="59"/>
  <c r="K41" i="59"/>
  <c r="L29" i="59"/>
  <c r="M29" i="59" s="1"/>
  <c r="J59" i="59"/>
  <c r="P52" i="59" l="1"/>
  <c r="Q50" i="59"/>
  <c r="O52" i="59"/>
  <c r="N52" i="59"/>
  <c r="N29" i="59"/>
  <c r="O29" i="59" s="1"/>
  <c r="O34" i="59" s="1"/>
  <c r="M34" i="59"/>
  <c r="M52" i="59"/>
  <c r="L52" i="59"/>
  <c r="L34" i="59"/>
  <c r="K59" i="59"/>
  <c r="Q52" i="59" l="1"/>
  <c r="I11" i="214" s="1"/>
  <c r="R50" i="59"/>
  <c r="O59" i="59"/>
  <c r="P11" i="181" s="1"/>
  <c r="P29" i="59"/>
  <c r="N34" i="59"/>
  <c r="M59" i="59"/>
  <c r="N11" i="181" s="1"/>
  <c r="L59" i="59"/>
  <c r="M11" i="181" s="1"/>
  <c r="K11" i="107"/>
  <c r="L11" i="181"/>
  <c r="L7" i="18"/>
  <c r="G2" i="119"/>
  <c r="G3" i="119"/>
  <c r="G4" i="119"/>
  <c r="H4" i="119"/>
  <c r="G5" i="119"/>
  <c r="H5" i="119"/>
  <c r="G6" i="119"/>
  <c r="H6" i="119"/>
  <c r="G7" i="119"/>
  <c r="H7" i="119"/>
  <c r="L5" i="16" s="1"/>
  <c r="L10" i="16" s="1"/>
  <c r="G8" i="119"/>
  <c r="H8" i="119"/>
  <c r="L5" i="18" s="1"/>
  <c r="L11" i="18" s="1"/>
  <c r="D9" i="119"/>
  <c r="E9" i="119"/>
  <c r="F9" i="119"/>
  <c r="G10" i="119"/>
  <c r="H10" i="119"/>
  <c r="M5" i="21" s="1"/>
  <c r="G11" i="119"/>
  <c r="H11" i="119"/>
  <c r="H12" i="119"/>
  <c r="G13" i="119"/>
  <c r="H13" i="119"/>
  <c r="G14" i="119"/>
  <c r="H14" i="119"/>
  <c r="H15" i="119"/>
  <c r="G16" i="119"/>
  <c r="L4" i="175"/>
  <c r="G17" i="119"/>
  <c r="G18" i="119"/>
  <c r="H18" i="119"/>
  <c r="G19" i="119"/>
  <c r="H19" i="119"/>
  <c r="H20" i="119"/>
  <c r="H21" i="119"/>
  <c r="G22" i="119"/>
  <c r="H22" i="119"/>
  <c r="H23" i="119"/>
  <c r="G24" i="119"/>
  <c r="H24" i="119"/>
  <c r="G25" i="119"/>
  <c r="H25" i="119"/>
  <c r="G26" i="119"/>
  <c r="H26" i="119"/>
  <c r="H27" i="119"/>
  <c r="G28" i="119"/>
  <c r="H28" i="119"/>
  <c r="G29" i="119"/>
  <c r="H29" i="119"/>
  <c r="G30" i="119"/>
  <c r="H30" i="119"/>
  <c r="G31" i="119"/>
  <c r="H31" i="119"/>
  <c r="N5" i="38" s="1"/>
  <c r="G32" i="119"/>
  <c r="H32" i="119"/>
  <c r="M5" i="169" s="1"/>
  <c r="G33" i="119"/>
  <c r="H33" i="119"/>
  <c r="M4" i="40" s="1"/>
  <c r="M8" i="40" s="1"/>
  <c r="C34" i="119"/>
  <c r="D34" i="119"/>
  <c r="E34" i="119"/>
  <c r="F34" i="119"/>
  <c r="G35" i="119"/>
  <c r="H35" i="119"/>
  <c r="M5" i="170" s="1"/>
  <c r="M10" i="170" s="1"/>
  <c r="G36" i="119"/>
  <c r="H36" i="119"/>
  <c r="L5" i="178" s="1"/>
  <c r="G37" i="119"/>
  <c r="H37" i="119"/>
  <c r="G38" i="119"/>
  <c r="H38" i="119"/>
  <c r="L5" i="46" s="1"/>
  <c r="G39" i="119"/>
  <c r="H39" i="119"/>
  <c r="M5" i="180" s="1"/>
  <c r="G40" i="119"/>
  <c r="H40" i="119"/>
  <c r="G41" i="119"/>
  <c r="H41" i="119"/>
  <c r="G42" i="119"/>
  <c r="H42" i="119"/>
  <c r="G43" i="119"/>
  <c r="H43" i="119"/>
  <c r="G44" i="119"/>
  <c r="M5" i="172"/>
  <c r="G45" i="119"/>
  <c r="H46" i="119"/>
  <c r="G47" i="119"/>
  <c r="H47" i="119"/>
  <c r="G48" i="119"/>
  <c r="H48" i="119"/>
  <c r="N3" i="75" s="1"/>
  <c r="G49" i="119"/>
  <c r="H49" i="119"/>
  <c r="G50" i="119"/>
  <c r="H50" i="119"/>
  <c r="G51" i="119"/>
  <c r="H51" i="119"/>
  <c r="G52" i="119"/>
  <c r="H52" i="119"/>
  <c r="G53" i="119"/>
  <c r="H53" i="119"/>
  <c r="C54" i="119"/>
  <c r="P34" i="59" l="1"/>
  <c r="P59" i="59" s="1"/>
  <c r="Q11" i="181" s="1"/>
  <c r="R52" i="59"/>
  <c r="M4" i="233"/>
  <c r="M8" i="233" s="1"/>
  <c r="M46" i="233" s="1"/>
  <c r="M4" i="232"/>
  <c r="M8" i="232" s="1"/>
  <c r="M41" i="232" s="1"/>
  <c r="N59" i="59"/>
  <c r="O11" i="181" s="1"/>
  <c r="D54" i="119"/>
  <c r="H9" i="119"/>
  <c r="L5" i="19" s="1"/>
  <c r="E54" i="119"/>
  <c r="G34" i="119"/>
  <c r="M4" i="37"/>
  <c r="M8" i="37" s="1"/>
  <c r="M4" i="213"/>
  <c r="M8" i="213" s="1"/>
  <c r="M38" i="213" s="1"/>
  <c r="M4" i="208"/>
  <c r="M8" i="208" s="1"/>
  <c r="M50" i="208" s="1"/>
  <c r="M9" i="46"/>
  <c r="F54" i="119"/>
  <c r="M9" i="172"/>
  <c r="M9" i="169"/>
  <c r="L14" i="175"/>
  <c r="M11" i="21"/>
  <c r="K5" i="174"/>
  <c r="M4" i="165"/>
  <c r="H34" i="119"/>
  <c r="G9" i="119"/>
  <c r="L58" i="162"/>
  <c r="L55" i="162"/>
  <c r="R29" i="59" l="1"/>
  <c r="Q34" i="59"/>
  <c r="H54" i="119"/>
  <c r="G54" i="119"/>
  <c r="M43" i="37"/>
  <c r="M45" i="53"/>
  <c r="F11" i="214" l="1"/>
  <c r="Q59" i="59"/>
  <c r="R34" i="59"/>
  <c r="M57" i="162"/>
  <c r="M58" i="162" s="1"/>
  <c r="J51" i="44"/>
  <c r="N24" i="114"/>
  <c r="L35" i="17"/>
  <c r="L45" i="17"/>
  <c r="L46" i="17"/>
  <c r="L47" i="17"/>
  <c r="M14" i="83"/>
  <c r="M15" i="83"/>
  <c r="M16" i="83"/>
  <c r="N16" i="83" s="1"/>
  <c r="M17" i="83"/>
  <c r="M18" i="83"/>
  <c r="M20" i="83"/>
  <c r="N20" i="83" s="1"/>
  <c r="M21" i="83"/>
  <c r="M22" i="83"/>
  <c r="M23" i="83"/>
  <c r="M24" i="83"/>
  <c r="M25" i="83"/>
  <c r="M26" i="83"/>
  <c r="M31" i="83"/>
  <c r="N31" i="83" s="1"/>
  <c r="M32" i="83"/>
  <c r="M33" i="83"/>
  <c r="M36" i="83"/>
  <c r="M38" i="83"/>
  <c r="M43" i="83"/>
  <c r="R11" i="181" l="1"/>
  <c r="R59" i="59"/>
  <c r="M47" i="17"/>
  <c r="O24" i="114"/>
  <c r="O26" i="114" s="1"/>
  <c r="L36" i="17"/>
  <c r="L48" i="17"/>
  <c r="M45" i="83"/>
  <c r="M39" i="83"/>
  <c r="N34" i="83"/>
  <c r="M34" i="83"/>
  <c r="M28" i="83"/>
  <c r="C5" i="190"/>
  <c r="C58" i="190" s="1"/>
  <c r="M20" i="168"/>
  <c r="M16" i="168"/>
  <c r="M42" i="168"/>
  <c r="M41" i="168"/>
  <c r="M43" i="168"/>
  <c r="M21" i="31"/>
  <c r="M30" i="31"/>
  <c r="M35" i="31" s="1"/>
  <c r="M46" i="31"/>
  <c r="M24" i="31"/>
  <c r="M37" i="31"/>
  <c r="M38" i="28"/>
  <c r="M30" i="28"/>
  <c r="M34" i="168"/>
  <c r="M26" i="168"/>
  <c r="M18" i="168"/>
  <c r="S11" i="181" l="1"/>
  <c r="M48" i="17"/>
  <c r="N47" i="17"/>
  <c r="M50" i="168"/>
  <c r="N16" i="168"/>
  <c r="N20" i="168"/>
  <c r="O20" i="168" s="1"/>
  <c r="P20" i="168" s="1"/>
  <c r="Q20" i="168" s="1"/>
  <c r="R20" i="168" s="1"/>
  <c r="S20" i="168" s="1"/>
  <c r="T20" i="168" s="1"/>
  <c r="M40" i="31"/>
  <c r="M48" i="31"/>
  <c r="M26" i="31"/>
  <c r="N30" i="31"/>
  <c r="N35" i="31" s="1"/>
  <c r="N33" i="75"/>
  <c r="K38" i="126"/>
  <c r="K31" i="126"/>
  <c r="K26" i="126"/>
  <c r="K19" i="126"/>
  <c r="K16" i="126"/>
  <c r="K15" i="126"/>
  <c r="K12" i="126"/>
  <c r="D42" i="125"/>
  <c r="D41" i="125"/>
  <c r="D40" i="125"/>
  <c r="D39" i="125"/>
  <c r="D34" i="125"/>
  <c r="D29" i="125"/>
  <c r="D28" i="125"/>
  <c r="D24" i="125"/>
  <c r="D16" i="125"/>
  <c r="D15" i="125"/>
  <c r="D14" i="125"/>
  <c r="C53" i="191" s="1"/>
  <c r="C52" i="191"/>
  <c r="C50" i="191"/>
  <c r="L14" i="19"/>
  <c r="N32" i="75"/>
  <c r="N30" i="75"/>
  <c r="N22" i="75"/>
  <c r="M30" i="23"/>
  <c r="M24" i="23"/>
  <c r="M15" i="23"/>
  <c r="M13" i="23"/>
  <c r="M11" i="23"/>
  <c r="N30" i="63"/>
  <c r="N19" i="63"/>
  <c r="N18" i="63"/>
  <c r="O18" i="63" s="1"/>
  <c r="P18" i="63" s="1"/>
  <c r="Q18" i="63" s="1"/>
  <c r="N11" i="63"/>
  <c r="M39" i="177"/>
  <c r="M38" i="177"/>
  <c r="M29" i="177"/>
  <c r="M26" i="177"/>
  <c r="M23" i="177"/>
  <c r="M17" i="177"/>
  <c r="M14" i="177"/>
  <c r="M12" i="177"/>
  <c r="K40" i="174"/>
  <c r="K39" i="174"/>
  <c r="K33" i="174"/>
  <c r="K32" i="174"/>
  <c r="K27" i="174"/>
  <c r="M34" i="172"/>
  <c r="M40" i="172"/>
  <c r="M31" i="172"/>
  <c r="M30" i="172"/>
  <c r="M20" i="172"/>
  <c r="M19" i="172"/>
  <c r="M18" i="172"/>
  <c r="M17" i="172"/>
  <c r="M16" i="172"/>
  <c r="M12" i="172"/>
  <c r="M28" i="51"/>
  <c r="M20" i="51"/>
  <c r="M16" i="51"/>
  <c r="M11" i="51"/>
  <c r="M46" i="53"/>
  <c r="M39" i="53"/>
  <c r="M31" i="53"/>
  <c r="M25" i="53"/>
  <c r="M23" i="53"/>
  <c r="M22" i="53"/>
  <c r="M21" i="53"/>
  <c r="M15" i="53"/>
  <c r="M14" i="53"/>
  <c r="M49" i="171"/>
  <c r="M46" i="171"/>
  <c r="M45" i="171"/>
  <c r="M39" i="171"/>
  <c r="M38" i="171"/>
  <c r="M33" i="171"/>
  <c r="M24" i="171"/>
  <c r="M21" i="171"/>
  <c r="M20" i="171"/>
  <c r="M14" i="171"/>
  <c r="M40" i="180"/>
  <c r="M39" i="180"/>
  <c r="M33" i="180"/>
  <c r="M28" i="180"/>
  <c r="M19" i="180"/>
  <c r="M17" i="180"/>
  <c r="N17" i="180" s="1"/>
  <c r="M16" i="180"/>
  <c r="M12" i="180"/>
  <c r="L45" i="46"/>
  <c r="L42" i="46"/>
  <c r="L36" i="46"/>
  <c r="L35" i="46"/>
  <c r="L34" i="46"/>
  <c r="L33" i="46"/>
  <c r="L30" i="46"/>
  <c r="L29" i="46"/>
  <c r="L28" i="46"/>
  <c r="M31" i="46" s="1"/>
  <c r="L24" i="46"/>
  <c r="L22" i="46"/>
  <c r="L20" i="46"/>
  <c r="L19" i="46"/>
  <c r="L18" i="46"/>
  <c r="M25" i="46" s="1"/>
  <c r="L17" i="46"/>
  <c r="L16" i="46"/>
  <c r="L15" i="46"/>
  <c r="L14" i="46"/>
  <c r="L13" i="46"/>
  <c r="L12" i="46"/>
  <c r="K53" i="44"/>
  <c r="K45" i="44"/>
  <c r="K40" i="44"/>
  <c r="K39" i="44"/>
  <c r="K35" i="44"/>
  <c r="K33" i="44"/>
  <c r="K24" i="44"/>
  <c r="K16" i="44"/>
  <c r="K14" i="44"/>
  <c r="K12" i="44"/>
  <c r="L47" i="178"/>
  <c r="L41" i="178"/>
  <c r="L40" i="178"/>
  <c r="L39" i="178"/>
  <c r="L32" i="178"/>
  <c r="L24" i="178"/>
  <c r="L22" i="178"/>
  <c r="M22" i="178" s="1"/>
  <c r="M28" i="178" s="1"/>
  <c r="M66" i="178" s="1"/>
  <c r="L18" i="178"/>
  <c r="L15" i="178"/>
  <c r="L12" i="178"/>
  <c r="M45" i="170"/>
  <c r="M44" i="170"/>
  <c r="M36" i="170"/>
  <c r="M31" i="170"/>
  <c r="M25" i="170"/>
  <c r="M21" i="170"/>
  <c r="M19" i="170"/>
  <c r="M13" i="170"/>
  <c r="M12" i="41"/>
  <c r="M26" i="41" s="1"/>
  <c r="M45" i="40"/>
  <c r="M44" i="40"/>
  <c r="M42" i="40"/>
  <c r="M32" i="40"/>
  <c r="M24" i="40"/>
  <c r="M19" i="40"/>
  <c r="M16" i="40"/>
  <c r="M11" i="40"/>
  <c r="M30" i="169"/>
  <c r="M32" i="169" s="1"/>
  <c r="M26" i="169"/>
  <c r="M20" i="169"/>
  <c r="M19" i="169"/>
  <c r="M17" i="169"/>
  <c r="M15" i="169"/>
  <c r="M12" i="169"/>
  <c r="N39" i="38"/>
  <c r="N34" i="38"/>
  <c r="N20" i="38"/>
  <c r="N12" i="38"/>
  <c r="M38" i="35"/>
  <c r="M29" i="35"/>
  <c r="M24" i="35"/>
  <c r="M23" i="35"/>
  <c r="N23" i="35" s="1"/>
  <c r="O23" i="35" s="1"/>
  <c r="M22" i="35"/>
  <c r="M21" i="35"/>
  <c r="M18" i="35"/>
  <c r="M15" i="35"/>
  <c r="M14" i="35"/>
  <c r="M12" i="35"/>
  <c r="M11" i="35"/>
  <c r="M35" i="168"/>
  <c r="M31" i="168"/>
  <c r="M30" i="168"/>
  <c r="M9" i="168"/>
  <c r="M28" i="168"/>
  <c r="M27" i="168"/>
  <c r="M22" i="168"/>
  <c r="M17" i="168"/>
  <c r="N17" i="168" s="1"/>
  <c r="O17" i="168" s="1"/>
  <c r="P17" i="168" s="1"/>
  <c r="Q17" i="168" s="1"/>
  <c r="R17" i="168" s="1"/>
  <c r="S17" i="168" s="1"/>
  <c r="M15" i="168"/>
  <c r="M14" i="168"/>
  <c r="M13" i="168"/>
  <c r="M38" i="165"/>
  <c r="M32" i="165"/>
  <c r="M27" i="165"/>
  <c r="M21" i="165"/>
  <c r="M18" i="165"/>
  <c r="M17" i="165"/>
  <c r="M15" i="165"/>
  <c r="M13" i="165"/>
  <c r="M48" i="162"/>
  <c r="M51" i="162" s="1"/>
  <c r="M36" i="162"/>
  <c r="M35" i="162"/>
  <c r="M34" i="162"/>
  <c r="M33" i="162"/>
  <c r="M26" i="162"/>
  <c r="M37" i="162"/>
  <c r="M22" i="162"/>
  <c r="M19" i="162"/>
  <c r="M14" i="162"/>
  <c r="K32" i="163"/>
  <c r="K45" i="163"/>
  <c r="K44" i="163"/>
  <c r="K43" i="163"/>
  <c r="K38" i="163"/>
  <c r="K37" i="163"/>
  <c r="K42" i="163"/>
  <c r="K30" i="163"/>
  <c r="L30" i="163" s="1"/>
  <c r="L35" i="163" s="1"/>
  <c r="K29" i="163"/>
  <c r="K25" i="163"/>
  <c r="K24" i="163"/>
  <c r="K23" i="163"/>
  <c r="K22" i="163"/>
  <c r="K21" i="163"/>
  <c r="K20" i="163"/>
  <c r="L20" i="163" s="1"/>
  <c r="K19" i="163"/>
  <c r="K18" i="163"/>
  <c r="K17" i="163"/>
  <c r="C23" i="191" s="1"/>
  <c r="K16" i="163"/>
  <c r="K15" i="163"/>
  <c r="I39" i="92"/>
  <c r="I43" i="92" s="1"/>
  <c r="I33" i="92"/>
  <c r="I30" i="92"/>
  <c r="I11" i="92"/>
  <c r="I28" i="92"/>
  <c r="I27" i="92"/>
  <c r="J27" i="92" s="1"/>
  <c r="I26" i="92"/>
  <c r="I22" i="92"/>
  <c r="I21" i="92"/>
  <c r="I20" i="92"/>
  <c r="I19" i="92"/>
  <c r="J19" i="92" s="1"/>
  <c r="I18" i="92"/>
  <c r="I16" i="92"/>
  <c r="N13" i="114"/>
  <c r="M31" i="116"/>
  <c r="L45" i="175"/>
  <c r="L44" i="175"/>
  <c r="L43" i="175"/>
  <c r="L37" i="175"/>
  <c r="L33" i="175"/>
  <c r="L27" i="175"/>
  <c r="L26" i="175"/>
  <c r="L25" i="175"/>
  <c r="L23" i="175"/>
  <c r="L17" i="175"/>
  <c r="M39" i="28"/>
  <c r="M35" i="28"/>
  <c r="M46" i="28"/>
  <c r="M34" i="28"/>
  <c r="M32" i="28"/>
  <c r="M31" i="28"/>
  <c r="M24" i="28"/>
  <c r="M23" i="28"/>
  <c r="M22" i="28"/>
  <c r="M21" i="28"/>
  <c r="M20" i="28"/>
  <c r="M19" i="28"/>
  <c r="M18" i="28"/>
  <c r="M17" i="28"/>
  <c r="M16" i="28"/>
  <c r="M43" i="25"/>
  <c r="M42" i="25"/>
  <c r="M40" i="25"/>
  <c r="M36" i="25"/>
  <c r="M32" i="25"/>
  <c r="M26" i="25"/>
  <c r="M23" i="25"/>
  <c r="M20" i="25"/>
  <c r="M19" i="25"/>
  <c r="M17" i="25"/>
  <c r="M44" i="24"/>
  <c r="M39" i="24"/>
  <c r="M35" i="24"/>
  <c r="M25" i="24"/>
  <c r="M24" i="24"/>
  <c r="N24" i="24" s="1"/>
  <c r="M23" i="24"/>
  <c r="M21" i="24"/>
  <c r="M18" i="24"/>
  <c r="M15" i="24"/>
  <c r="N15" i="24" s="1"/>
  <c r="M14" i="24"/>
  <c r="M13" i="24"/>
  <c r="M47" i="100"/>
  <c r="M39" i="100"/>
  <c r="M38" i="100"/>
  <c r="M35" i="100"/>
  <c r="M34" i="100"/>
  <c r="M12" i="100"/>
  <c r="M32" i="100"/>
  <c r="M31" i="100"/>
  <c r="M30" i="100"/>
  <c r="N30" i="100" s="1"/>
  <c r="M29" i="100"/>
  <c r="M26" i="100"/>
  <c r="M24" i="100"/>
  <c r="M22" i="100"/>
  <c r="N22" i="100" s="1"/>
  <c r="M21" i="100"/>
  <c r="M19" i="100"/>
  <c r="M16" i="100"/>
  <c r="M37" i="21"/>
  <c r="M32" i="21"/>
  <c r="M26" i="21"/>
  <c r="M23" i="21"/>
  <c r="M22" i="21"/>
  <c r="M19" i="21"/>
  <c r="L37" i="19"/>
  <c r="L32" i="19"/>
  <c r="L23" i="19"/>
  <c r="L22" i="19"/>
  <c r="L21" i="19"/>
  <c r="L20" i="19"/>
  <c r="L17" i="19"/>
  <c r="L43" i="18"/>
  <c r="L38" i="18"/>
  <c r="L24" i="18"/>
  <c r="L23" i="18"/>
  <c r="L22" i="18"/>
  <c r="L20" i="18"/>
  <c r="L17" i="18"/>
  <c r="L14" i="18"/>
  <c r="L45" i="16"/>
  <c r="L44" i="16"/>
  <c r="L36" i="16"/>
  <c r="L31" i="16"/>
  <c r="L25" i="16"/>
  <c r="L24" i="16"/>
  <c r="L23" i="16"/>
  <c r="L21" i="16"/>
  <c r="L17" i="16"/>
  <c r="L13" i="16"/>
  <c r="H27" i="91"/>
  <c r="H21" i="91"/>
  <c r="H31" i="92"/>
  <c r="H24" i="92"/>
  <c r="L39" i="162"/>
  <c r="L26" i="172"/>
  <c r="M50" i="171"/>
  <c r="L50" i="171"/>
  <c r="K50" i="171"/>
  <c r="J50" i="171"/>
  <c r="J62" i="178"/>
  <c r="K62" i="178"/>
  <c r="J45" i="107"/>
  <c r="J44" i="107"/>
  <c r="J39" i="107"/>
  <c r="J38" i="107"/>
  <c r="J36" i="107"/>
  <c r="J34" i="107"/>
  <c r="J30" i="107"/>
  <c r="J19" i="107"/>
  <c r="T17" i="168" l="1"/>
  <c r="S23" i="168"/>
  <c r="F31" i="214" s="1"/>
  <c r="R23" i="168"/>
  <c r="M36" i="100"/>
  <c r="I31" i="92"/>
  <c r="Q26" i="31"/>
  <c r="M50" i="46"/>
  <c r="M46" i="181" s="1"/>
  <c r="M41" i="181"/>
  <c r="N41" i="181"/>
  <c r="P23" i="35"/>
  <c r="O25" i="35"/>
  <c r="O46" i="35" s="1"/>
  <c r="N32" i="181" s="1"/>
  <c r="N23" i="180"/>
  <c r="N48" i="180" s="1"/>
  <c r="O17" i="180"/>
  <c r="M42" i="177"/>
  <c r="O16" i="168"/>
  <c r="O47" i="17"/>
  <c r="N48" i="17"/>
  <c r="N18" i="46"/>
  <c r="N27" i="100"/>
  <c r="N36" i="100"/>
  <c r="M27" i="100"/>
  <c r="J31" i="92"/>
  <c r="M47" i="18"/>
  <c r="L47" i="18"/>
  <c r="M44" i="25"/>
  <c r="I24" i="92"/>
  <c r="K27" i="163"/>
  <c r="K39" i="163"/>
  <c r="N25" i="35"/>
  <c r="M30" i="35"/>
  <c r="M42" i="35"/>
  <c r="M22" i="169"/>
  <c r="M50" i="40"/>
  <c r="K57" i="44"/>
  <c r="L37" i="46"/>
  <c r="L43" i="46"/>
  <c r="M44" i="172"/>
  <c r="K41" i="174"/>
  <c r="K23" i="126"/>
  <c r="L46" i="16"/>
  <c r="L28" i="18"/>
  <c r="L40" i="18"/>
  <c r="M41" i="100"/>
  <c r="M49" i="100"/>
  <c r="I35" i="92"/>
  <c r="L27" i="163"/>
  <c r="K47" i="163"/>
  <c r="N19" i="162"/>
  <c r="N37" i="162"/>
  <c r="N33" i="162"/>
  <c r="N39" i="162" s="1"/>
  <c r="M39" i="162"/>
  <c r="M27" i="169"/>
  <c r="M34" i="40"/>
  <c r="N44" i="40"/>
  <c r="K28" i="44"/>
  <c r="K41" i="44"/>
  <c r="K51" i="44"/>
  <c r="L25" i="46"/>
  <c r="L31" i="46"/>
  <c r="M26" i="172"/>
  <c r="M32" i="172"/>
  <c r="M37" i="172"/>
  <c r="M32" i="168"/>
  <c r="C58" i="191"/>
  <c r="N34" i="75"/>
  <c r="L46" i="175"/>
  <c r="M47" i="21"/>
  <c r="M37" i="168"/>
  <c r="M23" i="168"/>
  <c r="K34" i="126"/>
  <c r="K29" i="126"/>
  <c r="K41" i="126"/>
  <c r="M38" i="170"/>
  <c r="N45" i="170"/>
  <c r="O45" i="170" s="1"/>
  <c r="N44" i="170"/>
  <c r="O44" i="170" s="1"/>
  <c r="M46" i="170"/>
  <c r="N22" i="178"/>
  <c r="O22" i="178" s="1"/>
  <c r="L48" i="178"/>
  <c r="L42" i="178"/>
  <c r="N17" i="165"/>
  <c r="M39" i="165"/>
  <c r="M55" i="31"/>
  <c r="M27" i="28"/>
  <c r="M36" i="28"/>
  <c r="M40" i="28"/>
  <c r="M47" i="28"/>
  <c r="D36" i="125"/>
  <c r="D44" i="125"/>
  <c r="D25" i="125"/>
  <c r="D32" i="125"/>
  <c r="N41" i="63"/>
  <c r="N40" i="38"/>
  <c r="N35" i="38"/>
  <c r="M57" i="41"/>
  <c r="L39" i="181" s="1"/>
  <c r="J54" i="107"/>
  <c r="T23" i="168" l="1"/>
  <c r="R51" i="168"/>
  <c r="T26" i="31"/>
  <c r="V26" i="31" s="1"/>
  <c r="S26" i="31"/>
  <c r="S55" i="31" s="1"/>
  <c r="P22" i="178"/>
  <c r="O28" i="178"/>
  <c r="N25" i="46"/>
  <c r="O18" i="46"/>
  <c r="O25" i="46" s="1"/>
  <c r="O50" i="46" s="1"/>
  <c r="P46" i="181" s="1"/>
  <c r="O48" i="17"/>
  <c r="P25" i="35"/>
  <c r="Q23" i="35"/>
  <c r="Q25" i="35" s="1"/>
  <c r="Q46" i="35" s="1"/>
  <c r="P32" i="181" s="1"/>
  <c r="N28" i="178"/>
  <c r="N66" i="178" s="1"/>
  <c r="O23" i="180"/>
  <c r="O48" i="180" s="1"/>
  <c r="O48" i="181" s="1"/>
  <c r="R26" i="31"/>
  <c r="R55" i="31" s="1"/>
  <c r="N53" i="100"/>
  <c r="M12" i="181" s="1"/>
  <c r="I50" i="92"/>
  <c r="N46" i="181"/>
  <c r="M48" i="181"/>
  <c r="N48" i="181"/>
  <c r="P44" i="170"/>
  <c r="O46" i="170"/>
  <c r="O50" i="170" s="1"/>
  <c r="N40" i="181" s="1"/>
  <c r="M53" i="100"/>
  <c r="P16" i="168"/>
  <c r="Q16" i="168" s="1"/>
  <c r="Q23" i="168" s="1"/>
  <c r="Q51" i="168" s="1"/>
  <c r="O23" i="168"/>
  <c r="O51" i="168" s="1"/>
  <c r="N31" i="181" s="1"/>
  <c r="N23" i="168"/>
  <c r="N51" i="168" s="1"/>
  <c r="M31" i="181" s="1"/>
  <c r="K48" i="126"/>
  <c r="N31" i="46"/>
  <c r="N50" i="40"/>
  <c r="O44" i="40"/>
  <c r="J24" i="92"/>
  <c r="J50" i="92" s="1"/>
  <c r="M24" i="181" s="1"/>
  <c r="M51" i="172"/>
  <c r="N46" i="35"/>
  <c r="M32" i="181" s="1"/>
  <c r="L50" i="18"/>
  <c r="L48" i="163"/>
  <c r="M26" i="181" s="1"/>
  <c r="M50" i="18"/>
  <c r="M8" i="181" s="1"/>
  <c r="N46" i="170"/>
  <c r="N50" i="170" s="1"/>
  <c r="M40" i="181" s="1"/>
  <c r="M59" i="28"/>
  <c r="D51" i="125"/>
  <c r="N7" i="38"/>
  <c r="M26" i="24"/>
  <c r="R31" i="181" l="1"/>
  <c r="T51" i="168"/>
  <c r="P28" i="178"/>
  <c r="Q22" i="178"/>
  <c r="T55" i="31"/>
  <c r="V55" i="31" s="1"/>
  <c r="P31" i="181"/>
  <c r="P23" i="181"/>
  <c r="O66" i="178"/>
  <c r="P41" i="181" s="1"/>
  <c r="R23" i="35"/>
  <c r="P18" i="46"/>
  <c r="P46" i="170"/>
  <c r="P50" i="170" s="1"/>
  <c r="Q44" i="170"/>
  <c r="Q46" i="170" s="1"/>
  <c r="Q50" i="170" s="1"/>
  <c r="P40" i="181" s="1"/>
  <c r="N50" i="46"/>
  <c r="O41" i="181"/>
  <c r="P23" i="168"/>
  <c r="P51" i="168" s="1"/>
  <c r="P44" i="40"/>
  <c r="Q44" i="40" s="1"/>
  <c r="Q46" i="40" s="1"/>
  <c r="Q51" i="40" s="1"/>
  <c r="P38" i="181" s="1"/>
  <c r="O50" i="40"/>
  <c r="O51" i="40" s="1"/>
  <c r="N38" i="181" s="1"/>
  <c r="P46" i="35"/>
  <c r="N9" i="38"/>
  <c r="D37" i="126"/>
  <c r="H35" i="126"/>
  <c r="G35" i="126"/>
  <c r="F35" i="126"/>
  <c r="E35" i="126"/>
  <c r="D35" i="126"/>
  <c r="I34" i="126"/>
  <c r="I30" i="126"/>
  <c r="I24" i="126"/>
  <c r="J23" i="126"/>
  <c r="I16" i="126"/>
  <c r="J9" i="126"/>
  <c r="H9" i="126"/>
  <c r="G9" i="126"/>
  <c r="F9" i="126"/>
  <c r="E9" i="126"/>
  <c r="D9" i="126"/>
  <c r="G7" i="126"/>
  <c r="F7" i="126"/>
  <c r="E7" i="126"/>
  <c r="D7" i="126"/>
  <c r="I6" i="126"/>
  <c r="H6" i="126"/>
  <c r="I4" i="126"/>
  <c r="H4" i="126"/>
  <c r="C44" i="125"/>
  <c r="C9" i="125"/>
  <c r="C20" i="125" s="1"/>
  <c r="C7" i="125"/>
  <c r="M30" i="25"/>
  <c r="P66" i="178" l="1"/>
  <c r="Q41" i="181" s="1"/>
  <c r="Q23" i="181"/>
  <c r="S23" i="181" s="1"/>
  <c r="R25" i="35"/>
  <c r="R46" i="35" s="1"/>
  <c r="Q32" i="181" s="1"/>
  <c r="R22" i="178"/>
  <c r="Q28" i="178"/>
  <c r="P25" i="46"/>
  <c r="P50" i="46" s="1"/>
  <c r="Q46" i="181" s="1"/>
  <c r="Q31" i="181"/>
  <c r="S31" i="181" s="1"/>
  <c r="R44" i="40"/>
  <c r="R44" i="170"/>
  <c r="S44" i="170" s="1"/>
  <c r="H7" i="126"/>
  <c r="O32" i="181"/>
  <c r="P50" i="40"/>
  <c r="O46" i="181"/>
  <c r="N30" i="25"/>
  <c r="I35" i="126"/>
  <c r="J28" i="44"/>
  <c r="F41" i="214" l="1"/>
  <c r="Q66" i="178"/>
  <c r="T44" i="170"/>
  <c r="S46" i="170"/>
  <c r="R46" i="40"/>
  <c r="S44" i="40"/>
  <c r="R18" i="46"/>
  <c r="Q25" i="46"/>
  <c r="R28" i="178"/>
  <c r="T23" i="35"/>
  <c r="S25" i="35"/>
  <c r="F32" i="214" s="1"/>
  <c r="R51" i="40"/>
  <c r="R46" i="170"/>
  <c r="Q38" i="181"/>
  <c r="O31" i="181"/>
  <c r="P51" i="40"/>
  <c r="O40" i="181"/>
  <c r="N33" i="25"/>
  <c r="L57" i="181"/>
  <c r="L58" i="181"/>
  <c r="K53" i="107"/>
  <c r="L53" i="107" s="1"/>
  <c r="K52" i="107"/>
  <c r="L52" i="107" s="1"/>
  <c r="K49" i="107"/>
  <c r="L49" i="107" s="1"/>
  <c r="M9" i="165"/>
  <c r="I40" i="214" l="1"/>
  <c r="S50" i="170"/>
  <c r="F46" i="214"/>
  <c r="Q50" i="46"/>
  <c r="T25" i="35"/>
  <c r="R41" i="181"/>
  <c r="S41" i="181" s="1"/>
  <c r="R66" i="178"/>
  <c r="R25" i="46"/>
  <c r="T44" i="40"/>
  <c r="S46" i="40"/>
  <c r="I38" i="214" s="1"/>
  <c r="T46" i="170"/>
  <c r="R50" i="170"/>
  <c r="Q40" i="181" s="1"/>
  <c r="O38" i="181"/>
  <c r="N48" i="25"/>
  <c r="M17" i="181" s="1"/>
  <c r="L36" i="178"/>
  <c r="M6" i="35"/>
  <c r="R40" i="181" l="1"/>
  <c r="S40" i="181" s="1"/>
  <c r="T50" i="170"/>
  <c r="T46" i="40"/>
  <c r="S51" i="40"/>
  <c r="R50" i="46"/>
  <c r="R46" i="181"/>
  <c r="S46" i="181" s="1"/>
  <c r="R32" i="181"/>
  <c r="S32" i="181" s="1"/>
  <c r="T46" i="35"/>
  <c r="J5" i="163"/>
  <c r="M5" i="83"/>
  <c r="M11" i="83" s="1"/>
  <c r="N5" i="114"/>
  <c r="N10" i="114" s="1"/>
  <c r="M4" i="35"/>
  <c r="M8" i="35" s="1"/>
  <c r="K5" i="44"/>
  <c r="K9" i="44" s="1"/>
  <c r="M5" i="171"/>
  <c r="M5" i="53"/>
  <c r="M4" i="51"/>
  <c r="M5" i="177"/>
  <c r="M9" i="177" s="1"/>
  <c r="M5" i="23"/>
  <c r="M8" i="23" s="1"/>
  <c r="H5" i="91"/>
  <c r="H10" i="91" s="1"/>
  <c r="M5" i="116"/>
  <c r="M11" i="116" s="1"/>
  <c r="M4" i="25"/>
  <c r="M14" i="25" s="1"/>
  <c r="M4" i="24"/>
  <c r="M48" i="83"/>
  <c r="L45" i="83"/>
  <c r="L48" i="83"/>
  <c r="K48" i="83"/>
  <c r="L27" i="17"/>
  <c r="K51" i="17"/>
  <c r="J45" i="163"/>
  <c r="J44" i="163"/>
  <c r="J43" i="163"/>
  <c r="J38" i="163"/>
  <c r="J37" i="163"/>
  <c r="J33" i="163"/>
  <c r="J31" i="163"/>
  <c r="J29" i="163"/>
  <c r="J21" i="163"/>
  <c r="J20" i="163"/>
  <c r="J15" i="163"/>
  <c r="J9" i="163"/>
  <c r="M5" i="168"/>
  <c r="M22" i="170"/>
  <c r="M18" i="170"/>
  <c r="M26" i="53"/>
  <c r="L46" i="46"/>
  <c r="K46" i="46"/>
  <c r="L7" i="178"/>
  <c r="L13" i="178"/>
  <c r="N15" i="38"/>
  <c r="M7" i="38"/>
  <c r="L30" i="162"/>
  <c r="M17" i="51"/>
  <c r="M15" i="180"/>
  <c r="M13" i="180"/>
  <c r="N29" i="63"/>
  <c r="O29" i="63" s="1"/>
  <c r="M16" i="177"/>
  <c r="M27" i="51"/>
  <c r="N27" i="51" s="1"/>
  <c r="M26" i="51"/>
  <c r="M19" i="51"/>
  <c r="M17" i="171"/>
  <c r="N17" i="171" s="1"/>
  <c r="M29" i="170"/>
  <c r="M17" i="40"/>
  <c r="M13" i="35"/>
  <c r="M25" i="35" s="1"/>
  <c r="M31" i="165"/>
  <c r="M33" i="165" s="1"/>
  <c r="M25" i="165"/>
  <c r="M19" i="165"/>
  <c r="M14" i="165"/>
  <c r="L19" i="16"/>
  <c r="M19" i="16" s="1"/>
  <c r="M26" i="16" s="1"/>
  <c r="H14" i="91"/>
  <c r="J5" i="174"/>
  <c r="K34" i="44"/>
  <c r="L50" i="40"/>
  <c r="R38" i="181" l="1"/>
  <c r="S38" i="181" s="1"/>
  <c r="T51" i="40"/>
  <c r="M52" i="83"/>
  <c r="J39" i="163"/>
  <c r="J27" i="163"/>
  <c r="N27" i="171"/>
  <c r="N59" i="171" s="1"/>
  <c r="O17" i="171"/>
  <c r="O27" i="171" s="1"/>
  <c r="J47" i="163"/>
  <c r="N29" i="51"/>
  <c r="N41" i="51" s="1"/>
  <c r="O27" i="51"/>
  <c r="K36" i="44"/>
  <c r="K66" i="44" s="1"/>
  <c r="N17" i="40"/>
  <c r="N27" i="40" s="1"/>
  <c r="M27" i="40"/>
  <c r="M51" i="40" s="1"/>
  <c r="M46" i="35"/>
  <c r="M7" i="168"/>
  <c r="M51" i="168" s="1"/>
  <c r="M33" i="170"/>
  <c r="M26" i="170"/>
  <c r="L28" i="178"/>
  <c r="L9" i="178"/>
  <c r="N25" i="165"/>
  <c r="I14" i="91"/>
  <c r="H22" i="91"/>
  <c r="L30" i="17"/>
  <c r="L55" i="17" s="1"/>
  <c r="O15" i="38"/>
  <c r="P15" i="38" s="1"/>
  <c r="N29" i="38"/>
  <c r="N31" i="165"/>
  <c r="O31" i="165" s="1"/>
  <c r="J35" i="163"/>
  <c r="L27" i="25"/>
  <c r="I21" i="1"/>
  <c r="H21" i="1"/>
  <c r="I7" i="1"/>
  <c r="H7" i="1"/>
  <c r="N14" i="75"/>
  <c r="N10" i="75"/>
  <c r="N9" i="75"/>
  <c r="N21" i="75"/>
  <c r="M28" i="23"/>
  <c r="M23" i="23"/>
  <c r="M22" i="23"/>
  <c r="M16" i="23"/>
  <c r="M12" i="23"/>
  <c r="K43" i="46"/>
  <c r="K37" i="46"/>
  <c r="F32" i="46"/>
  <c r="K31" i="46"/>
  <c r="J30" i="46"/>
  <c r="I30" i="46"/>
  <c r="H30" i="46"/>
  <c r="G30" i="46"/>
  <c r="F30" i="46"/>
  <c r="E30" i="46"/>
  <c r="D30" i="46"/>
  <c r="C30" i="46"/>
  <c r="K25" i="46"/>
  <c r="J25" i="46"/>
  <c r="J20" i="46"/>
  <c r="J15" i="46"/>
  <c r="I15" i="46"/>
  <c r="I24" i="46" s="1"/>
  <c r="H15" i="46"/>
  <c r="H24" i="46" s="1"/>
  <c r="G15" i="46"/>
  <c r="G24" i="46" s="1"/>
  <c r="F15" i="46"/>
  <c r="F24" i="46" s="1"/>
  <c r="E15" i="46"/>
  <c r="E24" i="46" s="1"/>
  <c r="D15" i="46"/>
  <c r="D24" i="46" s="1"/>
  <c r="C15" i="46"/>
  <c r="C24" i="46" s="1"/>
  <c r="L7" i="46"/>
  <c r="L9" i="46" s="1"/>
  <c r="K7" i="46"/>
  <c r="K5" i="46"/>
  <c r="M41" i="180"/>
  <c r="L41" i="180"/>
  <c r="M34" i="180"/>
  <c r="L34" i="180"/>
  <c r="K32" i="180"/>
  <c r="M29" i="180"/>
  <c r="L29" i="180"/>
  <c r="J29" i="180"/>
  <c r="I29" i="180"/>
  <c r="H29" i="180"/>
  <c r="G29" i="180"/>
  <c r="F29" i="180"/>
  <c r="E29" i="180"/>
  <c r="D29" i="180"/>
  <c r="C29" i="180"/>
  <c r="K28" i="180"/>
  <c r="M23" i="180"/>
  <c r="L23" i="180"/>
  <c r="M7" i="180"/>
  <c r="L7" i="180"/>
  <c r="I7" i="180"/>
  <c r="F7" i="180"/>
  <c r="E7" i="180"/>
  <c r="D7" i="180"/>
  <c r="C7" i="180"/>
  <c r="J6" i="180"/>
  <c r="L5" i="180"/>
  <c r="K5" i="180"/>
  <c r="J4" i="180"/>
  <c r="H4" i="180"/>
  <c r="H7" i="180" s="1"/>
  <c r="G4" i="180"/>
  <c r="G7" i="180" s="1"/>
  <c r="M31" i="114"/>
  <c r="H30" i="91"/>
  <c r="H33" i="91" s="1"/>
  <c r="H26" i="91"/>
  <c r="H25" i="91"/>
  <c r="I25" i="91" s="1"/>
  <c r="K31" i="163"/>
  <c r="K48" i="178"/>
  <c r="F48" i="178"/>
  <c r="K42" i="178"/>
  <c r="K36" i="178"/>
  <c r="K28" i="178"/>
  <c r="K9" i="178"/>
  <c r="L5" i="177"/>
  <c r="M32" i="177"/>
  <c r="M34" i="177" s="1"/>
  <c r="M28" i="177"/>
  <c r="M27" i="177"/>
  <c r="M18" i="177"/>
  <c r="M15" i="177"/>
  <c r="M13" i="177"/>
  <c r="L34" i="177"/>
  <c r="L42" i="177"/>
  <c r="L30" i="177"/>
  <c r="L24" i="177"/>
  <c r="K42" i="177"/>
  <c r="H35" i="177"/>
  <c r="G35" i="177"/>
  <c r="F35" i="177"/>
  <c r="E35" i="177"/>
  <c r="D35" i="177"/>
  <c r="K34" i="177"/>
  <c r="I34" i="177"/>
  <c r="I31" i="177"/>
  <c r="K30" i="177"/>
  <c r="I25" i="177"/>
  <c r="K24" i="177"/>
  <c r="J24" i="177"/>
  <c r="H21" i="177"/>
  <c r="G21" i="177"/>
  <c r="F21" i="177"/>
  <c r="E21" i="177"/>
  <c r="D21" i="177"/>
  <c r="I15" i="177"/>
  <c r="K9" i="177"/>
  <c r="J9" i="177"/>
  <c r="H9" i="177"/>
  <c r="G9" i="177"/>
  <c r="F9" i="177"/>
  <c r="E9" i="177"/>
  <c r="D9" i="177"/>
  <c r="G7" i="177"/>
  <c r="F7" i="177"/>
  <c r="E7" i="177"/>
  <c r="D7" i="177"/>
  <c r="I6" i="177"/>
  <c r="H6" i="177"/>
  <c r="I4" i="177"/>
  <c r="H4" i="177"/>
  <c r="K46" i="175"/>
  <c r="C46" i="175"/>
  <c r="K39" i="175"/>
  <c r="C39" i="175"/>
  <c r="L36" i="175"/>
  <c r="K34" i="175"/>
  <c r="C34" i="175"/>
  <c r="L32" i="175"/>
  <c r="L31" i="175"/>
  <c r="K28" i="175"/>
  <c r="C28" i="175"/>
  <c r="L24" i="175"/>
  <c r="L20" i="175"/>
  <c r="J18" i="175"/>
  <c r="I18" i="175"/>
  <c r="H18" i="175"/>
  <c r="G18" i="175"/>
  <c r="F18" i="175"/>
  <c r="E18" i="175"/>
  <c r="D18" i="175"/>
  <c r="K14" i="175"/>
  <c r="C14" i="175"/>
  <c r="J11" i="175"/>
  <c r="I11" i="175"/>
  <c r="F11" i="175"/>
  <c r="E11" i="175"/>
  <c r="D11" i="175"/>
  <c r="G6" i="175"/>
  <c r="H6" i="175" s="1"/>
  <c r="H3" i="175"/>
  <c r="G3" i="175"/>
  <c r="L26" i="53"/>
  <c r="M26" i="165"/>
  <c r="M29" i="165" s="1"/>
  <c r="M16" i="165"/>
  <c r="N16" i="165" s="1"/>
  <c r="N23" i="165" s="1"/>
  <c r="M6" i="165"/>
  <c r="M10" i="165" s="1"/>
  <c r="M41" i="162"/>
  <c r="M23" i="162"/>
  <c r="M20" i="162"/>
  <c r="N20" i="162" s="1"/>
  <c r="N30" i="162" s="1"/>
  <c r="M17" i="162"/>
  <c r="N28" i="114"/>
  <c r="N31" i="114" s="1"/>
  <c r="N25" i="114"/>
  <c r="N17" i="114"/>
  <c r="N14" i="114"/>
  <c r="M35" i="116"/>
  <c r="M30" i="116"/>
  <c r="M29" i="116"/>
  <c r="M23" i="116"/>
  <c r="M17" i="116"/>
  <c r="M35" i="25"/>
  <c r="M31" i="25"/>
  <c r="M24" i="25"/>
  <c r="M18" i="25"/>
  <c r="M38" i="24"/>
  <c r="M34" i="24"/>
  <c r="M33" i="24"/>
  <c r="N33" i="24" s="1"/>
  <c r="M22" i="24"/>
  <c r="M19" i="24"/>
  <c r="N19" i="24" s="1"/>
  <c r="N30" i="24" s="1"/>
  <c r="M16" i="24"/>
  <c r="M36" i="21"/>
  <c r="M31" i="21"/>
  <c r="M30" i="21"/>
  <c r="M17" i="21"/>
  <c r="L36" i="19"/>
  <c r="L31" i="19"/>
  <c r="L30" i="19"/>
  <c r="L18" i="19"/>
  <c r="L35" i="16"/>
  <c r="L30" i="16"/>
  <c r="L29" i="16"/>
  <c r="L22" i="16"/>
  <c r="L16" i="16"/>
  <c r="J40" i="174"/>
  <c r="J39" i="174"/>
  <c r="D37" i="174"/>
  <c r="H35" i="174"/>
  <c r="G35" i="174"/>
  <c r="F35" i="174"/>
  <c r="E35" i="174"/>
  <c r="D35" i="174"/>
  <c r="I34" i="174"/>
  <c r="J32" i="174"/>
  <c r="J31" i="174"/>
  <c r="I30" i="174"/>
  <c r="J27" i="174"/>
  <c r="J26" i="174"/>
  <c r="K26" i="174" s="1"/>
  <c r="J25" i="174"/>
  <c r="I24" i="174"/>
  <c r="J18" i="174"/>
  <c r="K18" i="174" s="1"/>
  <c r="L18" i="174" s="1"/>
  <c r="K17" i="174"/>
  <c r="J17" i="174"/>
  <c r="J15" i="174"/>
  <c r="I15" i="174"/>
  <c r="J13" i="174"/>
  <c r="K13" i="174" s="1"/>
  <c r="L13" i="174" s="1"/>
  <c r="J12" i="174"/>
  <c r="H9" i="174"/>
  <c r="G9" i="174"/>
  <c r="F9" i="174"/>
  <c r="E9" i="174"/>
  <c r="D9" i="174"/>
  <c r="K7" i="174"/>
  <c r="J7" i="174"/>
  <c r="J9" i="174" s="1"/>
  <c r="G7" i="174"/>
  <c r="F7" i="174"/>
  <c r="E7" i="174"/>
  <c r="D7" i="174"/>
  <c r="I6" i="174"/>
  <c r="H6" i="174"/>
  <c r="I4" i="174"/>
  <c r="H4" i="174"/>
  <c r="L37" i="172"/>
  <c r="K37" i="172"/>
  <c r="L44" i="172"/>
  <c r="K44" i="172"/>
  <c r="F42" i="172"/>
  <c r="E42" i="172"/>
  <c r="K32" i="172"/>
  <c r="L29" i="172"/>
  <c r="L32" i="172" s="1"/>
  <c r="K26" i="172"/>
  <c r="J16" i="172"/>
  <c r="I16" i="172"/>
  <c r="H16" i="172"/>
  <c r="G16" i="172"/>
  <c r="D16" i="172"/>
  <c r="C16" i="172"/>
  <c r="F12" i="172"/>
  <c r="F16" i="172" s="1"/>
  <c r="E12" i="172"/>
  <c r="E16" i="172" s="1"/>
  <c r="G6" i="172"/>
  <c r="L5" i="172"/>
  <c r="L9" i="172" s="1"/>
  <c r="K5" i="172"/>
  <c r="K9" i="172" s="1"/>
  <c r="J5" i="172"/>
  <c r="I5" i="172"/>
  <c r="H5" i="172"/>
  <c r="M47" i="171"/>
  <c r="L47" i="171"/>
  <c r="M40" i="171"/>
  <c r="L40" i="171"/>
  <c r="F36" i="171"/>
  <c r="M34" i="171"/>
  <c r="L34" i="171"/>
  <c r="K34" i="171"/>
  <c r="J33" i="171"/>
  <c r="I33" i="171"/>
  <c r="H33" i="171"/>
  <c r="G33" i="171"/>
  <c r="F33" i="171"/>
  <c r="E33" i="171"/>
  <c r="D33" i="171"/>
  <c r="C33" i="171"/>
  <c r="K30" i="171"/>
  <c r="M27" i="171"/>
  <c r="L27" i="171"/>
  <c r="K19" i="171"/>
  <c r="M7" i="171"/>
  <c r="L7" i="171"/>
  <c r="K6" i="171"/>
  <c r="J6" i="171"/>
  <c r="H6" i="171"/>
  <c r="L5" i="171"/>
  <c r="L11" i="171" s="1"/>
  <c r="K4" i="171"/>
  <c r="J4" i="171"/>
  <c r="H4" i="171"/>
  <c r="F4" i="171"/>
  <c r="L46" i="170"/>
  <c r="F46" i="170"/>
  <c r="L38" i="170"/>
  <c r="L33" i="170"/>
  <c r="L26" i="170"/>
  <c r="L10" i="170"/>
  <c r="K28" i="169"/>
  <c r="J28" i="169"/>
  <c r="I28" i="169"/>
  <c r="H28" i="169"/>
  <c r="G28" i="169"/>
  <c r="F28" i="169"/>
  <c r="E28" i="169"/>
  <c r="D28" i="169"/>
  <c r="C28" i="169"/>
  <c r="L27" i="169"/>
  <c r="K25" i="169"/>
  <c r="L22" i="169"/>
  <c r="J18" i="169"/>
  <c r="I18" i="169"/>
  <c r="H18" i="169"/>
  <c r="G18" i="169"/>
  <c r="F18" i="169"/>
  <c r="E18" i="169"/>
  <c r="D18" i="169"/>
  <c r="C18" i="169"/>
  <c r="K15" i="169"/>
  <c r="L9" i="169"/>
  <c r="J38" i="169"/>
  <c r="I38" i="169"/>
  <c r="H38" i="169"/>
  <c r="G38" i="169"/>
  <c r="F38" i="169"/>
  <c r="E38" i="169"/>
  <c r="D38" i="169"/>
  <c r="C38" i="169"/>
  <c r="G7" i="169"/>
  <c r="F7" i="169"/>
  <c r="E7" i="169"/>
  <c r="D7" i="169"/>
  <c r="C7" i="169"/>
  <c r="K6" i="169"/>
  <c r="J6" i="169"/>
  <c r="H6" i="169"/>
  <c r="K4" i="169"/>
  <c r="J4" i="169"/>
  <c r="I4" i="169"/>
  <c r="I7" i="169" s="1"/>
  <c r="H4" i="169"/>
  <c r="L50" i="168"/>
  <c r="K39" i="168"/>
  <c r="L37" i="168"/>
  <c r="J37" i="168"/>
  <c r="I37" i="168"/>
  <c r="H37" i="168"/>
  <c r="G37" i="168"/>
  <c r="F37" i="168"/>
  <c r="E37" i="168"/>
  <c r="C37" i="168"/>
  <c r="K34" i="168"/>
  <c r="L32" i="168"/>
  <c r="D27" i="168"/>
  <c r="D37" i="168" s="1"/>
  <c r="L23" i="168"/>
  <c r="K26" i="168"/>
  <c r="J14" i="168"/>
  <c r="H14" i="168"/>
  <c r="C14" i="168"/>
  <c r="I11" i="168"/>
  <c r="I14" i="168" s="1"/>
  <c r="G11" i="168"/>
  <c r="G14" i="168" s="1"/>
  <c r="F11" i="168"/>
  <c r="F14" i="168" s="1"/>
  <c r="D11" i="168"/>
  <c r="D14" i="168" s="1"/>
  <c r="E14" i="168"/>
  <c r="K6" i="168"/>
  <c r="J6" i="168"/>
  <c r="I6" i="168"/>
  <c r="H6" i="168"/>
  <c r="F6" i="168"/>
  <c r="E6" i="168"/>
  <c r="D6" i="168"/>
  <c r="C6" i="168"/>
  <c r="L4" i="168"/>
  <c r="L7" i="168" s="1"/>
  <c r="G4" i="168"/>
  <c r="G6" i="168" s="1"/>
  <c r="N5" i="75"/>
  <c r="M41" i="23"/>
  <c r="O29" i="51" l="1"/>
  <c r="P27" i="51"/>
  <c r="P29" i="51" s="1"/>
  <c r="O59" i="171"/>
  <c r="J48" i="163"/>
  <c r="L23" i="174"/>
  <c r="H7" i="177"/>
  <c r="L66" i="178"/>
  <c r="K36" i="107" s="1"/>
  <c r="L36" i="107" s="1"/>
  <c r="G11" i="175"/>
  <c r="M49" i="181"/>
  <c r="N49" i="181"/>
  <c r="H7" i="174"/>
  <c r="J23" i="174"/>
  <c r="L29" i="174"/>
  <c r="M26" i="174"/>
  <c r="M33" i="116"/>
  <c r="M30" i="177"/>
  <c r="I28" i="91"/>
  <c r="J25" i="91"/>
  <c r="Q15" i="38"/>
  <c r="P29" i="38"/>
  <c r="P50" i="38" s="1"/>
  <c r="N36" i="181" s="1"/>
  <c r="N29" i="165"/>
  <c r="O25" i="165"/>
  <c r="M13" i="174"/>
  <c r="M2" i="181"/>
  <c r="M3" i="181"/>
  <c r="N33" i="165"/>
  <c r="I22" i="91"/>
  <c r="J14" i="91"/>
  <c r="M50" i="169"/>
  <c r="K9" i="174"/>
  <c r="M30" i="24"/>
  <c r="M27" i="25"/>
  <c r="M33" i="25"/>
  <c r="M26" i="116"/>
  <c r="M38" i="116"/>
  <c r="O17" i="114"/>
  <c r="M9" i="180"/>
  <c r="N51" i="40"/>
  <c r="M38" i="181" s="1"/>
  <c r="J7" i="180"/>
  <c r="L9" i="180"/>
  <c r="L48" i="180" s="1"/>
  <c r="L26" i="16"/>
  <c r="M29" i="16"/>
  <c r="M33" i="16" s="1"/>
  <c r="L33" i="16"/>
  <c r="L38" i="16"/>
  <c r="N36" i="24"/>
  <c r="M41" i="24"/>
  <c r="M37" i="25"/>
  <c r="M30" i="162"/>
  <c r="K35" i="163"/>
  <c r="K48" i="163" s="1"/>
  <c r="J41" i="174"/>
  <c r="M11" i="171"/>
  <c r="M59" i="171" s="1"/>
  <c r="L49" i="181" s="1"/>
  <c r="C2" i="206"/>
  <c r="N7" i="75"/>
  <c r="N23" i="75"/>
  <c r="N17" i="75"/>
  <c r="M24" i="177"/>
  <c r="M49" i="177" s="1"/>
  <c r="L28" i="175"/>
  <c r="M31" i="175"/>
  <c r="L34" i="175"/>
  <c r="L39" i="175"/>
  <c r="M27" i="21"/>
  <c r="N30" i="21"/>
  <c r="N34" i="21" s="1"/>
  <c r="M34" i="21"/>
  <c r="M39" i="21"/>
  <c r="M50" i="170"/>
  <c r="M23" i="165"/>
  <c r="M46" i="165" s="1"/>
  <c r="H28" i="91"/>
  <c r="H34" i="91" s="1"/>
  <c r="L27" i="19"/>
  <c r="M30" i="19"/>
  <c r="L34" i="19"/>
  <c r="L39" i="19"/>
  <c r="M20" i="23"/>
  <c r="M26" i="23"/>
  <c r="M31" i="23"/>
  <c r="N21" i="114"/>
  <c r="N26" i="114"/>
  <c r="L2" i="181"/>
  <c r="L3" i="181"/>
  <c r="O29" i="38"/>
  <c r="K9" i="46"/>
  <c r="K50" i="46" s="1"/>
  <c r="J7" i="169"/>
  <c r="K2" i="107"/>
  <c r="L2" i="107" s="1"/>
  <c r="K3" i="107"/>
  <c r="L3" i="107" s="1"/>
  <c r="L59" i="171"/>
  <c r="L9" i="177"/>
  <c r="L49" i="177" s="1"/>
  <c r="L50" i="46"/>
  <c r="L50" i="170"/>
  <c r="K50" i="175"/>
  <c r="C50" i="175"/>
  <c r="K15" i="174"/>
  <c r="K23" i="174" s="1"/>
  <c r="J29" i="174"/>
  <c r="K25" i="174"/>
  <c r="J34" i="174"/>
  <c r="K31" i="174"/>
  <c r="L31" i="174" s="1"/>
  <c r="H7" i="169"/>
  <c r="K33" i="180"/>
  <c r="K66" i="178"/>
  <c r="K49" i="177"/>
  <c r="I35" i="177"/>
  <c r="H11" i="175"/>
  <c r="I35" i="174"/>
  <c r="K51" i="172"/>
  <c r="L51" i="172"/>
  <c r="H6" i="172"/>
  <c r="F38" i="171"/>
  <c r="K35" i="171"/>
  <c r="L50" i="169"/>
  <c r="C38" i="168"/>
  <c r="H38" i="168"/>
  <c r="J38" i="168"/>
  <c r="E38" i="168"/>
  <c r="G38" i="168"/>
  <c r="I38" i="168"/>
  <c r="K40" i="168"/>
  <c r="D38" i="168"/>
  <c r="F38" i="168"/>
  <c r="L51" i="168"/>
  <c r="P41" i="51" l="1"/>
  <c r="P25" i="181" s="1"/>
  <c r="I34" i="91"/>
  <c r="M4" i="181" s="1"/>
  <c r="Q27" i="51"/>
  <c r="O41" i="51"/>
  <c r="O25" i="181" s="1"/>
  <c r="M29" i="174"/>
  <c r="N26" i="174"/>
  <c r="N29" i="174" s="1"/>
  <c r="M23" i="174"/>
  <c r="N13" i="174"/>
  <c r="Q29" i="38"/>
  <c r="R15" i="38"/>
  <c r="R29" i="38" s="1"/>
  <c r="J51" i="174"/>
  <c r="M49" i="116"/>
  <c r="N37" i="114"/>
  <c r="L34" i="174"/>
  <c r="L51" i="174" s="1"/>
  <c r="O21" i="114"/>
  <c r="O37" i="114" s="1"/>
  <c r="M21" i="181" s="1"/>
  <c r="P17" i="114"/>
  <c r="J22" i="91"/>
  <c r="O33" i="165"/>
  <c r="O29" i="165"/>
  <c r="J28" i="91"/>
  <c r="M42" i="23"/>
  <c r="K47" i="107" s="1"/>
  <c r="L47" i="107" s="1"/>
  <c r="M34" i="19"/>
  <c r="M54" i="19" s="1"/>
  <c r="M9" i="181" s="1"/>
  <c r="L54" i="19"/>
  <c r="K34" i="174"/>
  <c r="M48" i="25"/>
  <c r="M47" i="16"/>
  <c r="M7" i="181" s="1"/>
  <c r="K29" i="174"/>
  <c r="N46" i="165"/>
  <c r="M30" i="181" s="1"/>
  <c r="L47" i="16"/>
  <c r="D2" i="206"/>
  <c r="C7" i="206"/>
  <c r="D7" i="206" s="1"/>
  <c r="N35" i="75"/>
  <c r="L50" i="175"/>
  <c r="K16" i="107" s="1"/>
  <c r="L16" i="107" s="1"/>
  <c r="M34" i="175"/>
  <c r="N48" i="21"/>
  <c r="M10" i="181" s="1"/>
  <c r="M48" i="21"/>
  <c r="K40" i="107"/>
  <c r="L40" i="107" s="1"/>
  <c r="O50" i="38"/>
  <c r="M36" i="181" s="1"/>
  <c r="L40" i="181"/>
  <c r="L46" i="181"/>
  <c r="K32" i="107"/>
  <c r="L32" i="107" s="1"/>
  <c r="L37" i="181"/>
  <c r="L41" i="181"/>
  <c r="M48" i="180"/>
  <c r="K38" i="107"/>
  <c r="L38" i="107" s="1"/>
  <c r="K35" i="107"/>
  <c r="L35" i="107" s="1"/>
  <c r="K19" i="107"/>
  <c r="F34" i="171"/>
  <c r="F34" i="169"/>
  <c r="M40" i="51"/>
  <c r="M29" i="51"/>
  <c r="M23" i="51"/>
  <c r="M6" i="51"/>
  <c r="M47" i="53"/>
  <c r="M40" i="53"/>
  <c r="M34" i="53"/>
  <c r="M9" i="53"/>
  <c r="N46" i="38"/>
  <c r="L38" i="116"/>
  <c r="L26" i="116"/>
  <c r="L48" i="24"/>
  <c r="L47" i="24"/>
  <c r="M47" i="24" s="1"/>
  <c r="N47" i="24" s="1"/>
  <c r="O47" i="24" s="1"/>
  <c r="P47" i="24" s="1"/>
  <c r="Q47" i="24" s="1"/>
  <c r="R47" i="24" s="1"/>
  <c r="S47" i="24" s="1"/>
  <c r="T47" i="24" s="1"/>
  <c r="L46" i="24"/>
  <c r="M46" i="24" s="1"/>
  <c r="L45" i="24"/>
  <c r="L44" i="24"/>
  <c r="M32" i="24"/>
  <c r="M6" i="24"/>
  <c r="L42" i="165"/>
  <c r="L39" i="165"/>
  <c r="L33" i="165"/>
  <c r="K32" i="165"/>
  <c r="D32" i="165"/>
  <c r="K30" i="165"/>
  <c r="L29" i="165"/>
  <c r="K27" i="165"/>
  <c r="J26" i="165"/>
  <c r="I26" i="165"/>
  <c r="H26" i="165"/>
  <c r="G26" i="165"/>
  <c r="F26" i="165"/>
  <c r="E26" i="165"/>
  <c r="D26" i="165"/>
  <c r="C26" i="165"/>
  <c r="L23" i="165"/>
  <c r="K21" i="165"/>
  <c r="J19" i="165"/>
  <c r="I19" i="165"/>
  <c r="H19" i="165"/>
  <c r="E19" i="165"/>
  <c r="D19" i="165"/>
  <c r="C19" i="165"/>
  <c r="F18" i="165"/>
  <c r="F19" i="165" s="1"/>
  <c r="G16" i="165"/>
  <c r="G19" i="165" s="1"/>
  <c r="K18" i="165"/>
  <c r="L6" i="165"/>
  <c r="L10" i="165" s="1"/>
  <c r="H5" i="165"/>
  <c r="J4" i="165"/>
  <c r="H4" i="165"/>
  <c r="C28" i="107"/>
  <c r="D28" i="107"/>
  <c r="E28" i="107"/>
  <c r="G28" i="107"/>
  <c r="H28" i="107"/>
  <c r="I28" i="107"/>
  <c r="Q29" i="51" l="1"/>
  <c r="Q41" i="51" s="1"/>
  <c r="Q25" i="181" s="1"/>
  <c r="R27" i="51"/>
  <c r="R50" i="38"/>
  <c r="P36" i="181" s="1"/>
  <c r="J34" i="91"/>
  <c r="N4" i="181" s="1"/>
  <c r="O13" i="174"/>
  <c r="N23" i="174"/>
  <c r="N51" i="174" s="1"/>
  <c r="P52" i="181" s="1"/>
  <c r="M51" i="174"/>
  <c r="S15" i="38"/>
  <c r="L25" i="181"/>
  <c r="K51" i="174"/>
  <c r="L55" i="181"/>
  <c r="L19" i="181"/>
  <c r="M52" i="181"/>
  <c r="N52" i="181"/>
  <c r="O46" i="165"/>
  <c r="N30" i="181" s="1"/>
  <c r="Q17" i="114"/>
  <c r="P21" i="114"/>
  <c r="P37" i="114" s="1"/>
  <c r="N21" i="181" s="1"/>
  <c r="O49" i="181"/>
  <c r="Q50" i="38"/>
  <c r="M10" i="24"/>
  <c r="N46" i="24"/>
  <c r="O46" i="24" s="1"/>
  <c r="M48" i="24"/>
  <c r="M36" i="24"/>
  <c r="M11" i="53"/>
  <c r="M51" i="53" s="1"/>
  <c r="M8" i="51"/>
  <c r="M41" i="51" s="1"/>
  <c r="B5" i="207"/>
  <c r="C5" i="207" s="1"/>
  <c r="D4" i="207" s="1"/>
  <c r="D5" i="207" s="1"/>
  <c r="D9" i="206"/>
  <c r="M50" i="175"/>
  <c r="M19" i="181" s="1"/>
  <c r="N50" i="38"/>
  <c r="K22" i="107"/>
  <c r="L22" i="107" s="1"/>
  <c r="L9" i="181"/>
  <c r="K43" i="107"/>
  <c r="L43" i="107" s="1"/>
  <c r="L51" i="181"/>
  <c r="K45" i="107"/>
  <c r="L45" i="107" s="1"/>
  <c r="L53" i="181"/>
  <c r="K48" i="107"/>
  <c r="L48" i="107" s="1"/>
  <c r="L56" i="181"/>
  <c r="K39" i="107"/>
  <c r="L39" i="107" s="1"/>
  <c r="L48" i="181"/>
  <c r="K30" i="107"/>
  <c r="L30" i="107" s="1"/>
  <c r="L19" i="107"/>
  <c r="K37" i="107"/>
  <c r="L37" i="107" s="1"/>
  <c r="K17" i="107"/>
  <c r="K9" i="107"/>
  <c r="L9" i="107" s="1"/>
  <c r="K33" i="165"/>
  <c r="L46" i="165"/>
  <c r="D42" i="163"/>
  <c r="H40" i="163"/>
  <c r="G40" i="163"/>
  <c r="F40" i="163"/>
  <c r="E40" i="163"/>
  <c r="D40" i="163"/>
  <c r="I39" i="163"/>
  <c r="I36" i="163"/>
  <c r="I28" i="163"/>
  <c r="H25" i="163"/>
  <c r="G25" i="163"/>
  <c r="F25" i="163"/>
  <c r="E25" i="163"/>
  <c r="D25" i="163"/>
  <c r="I20" i="163"/>
  <c r="H9" i="163"/>
  <c r="G9" i="163"/>
  <c r="F9" i="163"/>
  <c r="E9" i="163"/>
  <c r="D9" i="163"/>
  <c r="G7" i="163"/>
  <c r="F7" i="163"/>
  <c r="E7" i="163"/>
  <c r="D7" i="163"/>
  <c r="I6" i="163"/>
  <c r="H6" i="163"/>
  <c r="I4" i="163"/>
  <c r="H4" i="163"/>
  <c r="L46" i="162"/>
  <c r="L51" i="162" s="1"/>
  <c r="L42" i="162"/>
  <c r="L11" i="162"/>
  <c r="L36" i="28"/>
  <c r="L47" i="28"/>
  <c r="L40" i="28"/>
  <c r="L27" i="28"/>
  <c r="H35" i="92"/>
  <c r="L42" i="35"/>
  <c r="L39" i="40"/>
  <c r="L34" i="40"/>
  <c r="L27" i="40"/>
  <c r="L8" i="40"/>
  <c r="J62" i="44"/>
  <c r="J36" i="44"/>
  <c r="L41" i="23"/>
  <c r="L31" i="23"/>
  <c r="L26" i="23"/>
  <c r="L20" i="23"/>
  <c r="L8" i="23"/>
  <c r="K41" i="23"/>
  <c r="D34" i="23"/>
  <c r="H32" i="23"/>
  <c r="G32" i="23"/>
  <c r="F32" i="23"/>
  <c r="E32" i="23"/>
  <c r="D32" i="23"/>
  <c r="K31" i="23"/>
  <c r="I31" i="23"/>
  <c r="I27" i="23"/>
  <c r="K26" i="23"/>
  <c r="I21" i="23"/>
  <c r="K20" i="23"/>
  <c r="J20" i="23"/>
  <c r="H19" i="23"/>
  <c r="G19" i="23"/>
  <c r="F19" i="23"/>
  <c r="E19" i="23"/>
  <c r="D19" i="23"/>
  <c r="I13" i="23"/>
  <c r="K8" i="23"/>
  <c r="J8" i="23"/>
  <c r="H8" i="23"/>
  <c r="G8" i="23"/>
  <c r="F8" i="23"/>
  <c r="E8" i="23"/>
  <c r="D8" i="23"/>
  <c r="G7" i="23"/>
  <c r="F7" i="23"/>
  <c r="E7" i="23"/>
  <c r="D7" i="23"/>
  <c r="I6" i="23"/>
  <c r="H6" i="23"/>
  <c r="I4" i="23"/>
  <c r="H4" i="23"/>
  <c r="M29" i="38"/>
  <c r="M35" i="38"/>
  <c r="M46" i="38"/>
  <c r="M40" i="38"/>
  <c r="M5" i="38"/>
  <c r="L35" i="41"/>
  <c r="L39" i="41" s="1"/>
  <c r="L44" i="41"/>
  <c r="L42" i="41"/>
  <c r="L31" i="41"/>
  <c r="L30" i="41"/>
  <c r="L29" i="41"/>
  <c r="L21" i="41"/>
  <c r="L20" i="41"/>
  <c r="L19" i="41"/>
  <c r="L17" i="41"/>
  <c r="L15" i="41"/>
  <c r="L14" i="41"/>
  <c r="L11" i="41"/>
  <c r="L6" i="41"/>
  <c r="L4" i="41"/>
  <c r="K12" i="17"/>
  <c r="J9" i="44"/>
  <c r="J41" i="44"/>
  <c r="G22" i="91"/>
  <c r="G10" i="91"/>
  <c r="M26" i="114"/>
  <c r="M21" i="114"/>
  <c r="M10" i="114"/>
  <c r="H9" i="92"/>
  <c r="L48" i="31"/>
  <c r="L40" i="31"/>
  <c r="L35" i="31"/>
  <c r="L26" i="31"/>
  <c r="L6" i="31"/>
  <c r="L33" i="116"/>
  <c r="L11" i="116"/>
  <c r="H33" i="116"/>
  <c r="H26" i="116"/>
  <c r="H11" i="116"/>
  <c r="F13" i="116"/>
  <c r="F29" i="116" s="1"/>
  <c r="G13" i="116"/>
  <c r="G5" i="116"/>
  <c r="E13" i="116"/>
  <c r="D13" i="116"/>
  <c r="C13" i="116"/>
  <c r="K47" i="28"/>
  <c r="K40" i="28"/>
  <c r="K27" i="28"/>
  <c r="K13" i="28"/>
  <c r="L4" i="28"/>
  <c r="L13" i="28" s="1"/>
  <c r="J17" i="28"/>
  <c r="I10" i="28"/>
  <c r="I11" i="28"/>
  <c r="I13" i="28"/>
  <c r="H17" i="28"/>
  <c r="G17" i="28"/>
  <c r="F17" i="28"/>
  <c r="E17" i="28"/>
  <c r="D17" i="28"/>
  <c r="C17" i="28"/>
  <c r="G6" i="28"/>
  <c r="I4" i="28"/>
  <c r="H4" i="28"/>
  <c r="L44" i="25"/>
  <c r="L37" i="25"/>
  <c r="L33" i="25"/>
  <c r="L7" i="25"/>
  <c r="L14" i="25" s="1"/>
  <c r="K31" i="25"/>
  <c r="K27" i="25"/>
  <c r="K26" i="25"/>
  <c r="K4" i="25"/>
  <c r="K7" i="25"/>
  <c r="F16" i="25"/>
  <c r="F9" i="25"/>
  <c r="J16" i="25"/>
  <c r="J4" i="25"/>
  <c r="J7" i="25"/>
  <c r="I16" i="25"/>
  <c r="I4" i="25"/>
  <c r="I9" i="25" s="1"/>
  <c r="H16" i="25"/>
  <c r="H7" i="25"/>
  <c r="H9" i="25" s="1"/>
  <c r="G16" i="25"/>
  <c r="G4" i="25"/>
  <c r="G9" i="25" s="1"/>
  <c r="E16" i="25"/>
  <c r="E9" i="25"/>
  <c r="D23" i="25"/>
  <c r="D16" i="25"/>
  <c r="D9" i="25"/>
  <c r="C16" i="25"/>
  <c r="C9" i="25"/>
  <c r="L41" i="24"/>
  <c r="L32" i="24"/>
  <c r="L36" i="24" s="1"/>
  <c r="L30" i="24"/>
  <c r="L6" i="24"/>
  <c r="L10" i="24" s="1"/>
  <c r="K32" i="24"/>
  <c r="K21" i="24"/>
  <c r="K6" i="24"/>
  <c r="K8" i="24" s="1"/>
  <c r="F31" i="24"/>
  <c r="E31" i="24"/>
  <c r="J22" i="24"/>
  <c r="I22" i="24"/>
  <c r="H22" i="24"/>
  <c r="G22" i="24"/>
  <c r="F22" i="24"/>
  <c r="E22" i="24"/>
  <c r="D22" i="24"/>
  <c r="C22" i="24"/>
  <c r="J13" i="24"/>
  <c r="I13" i="24"/>
  <c r="H13" i="24"/>
  <c r="G13" i="24"/>
  <c r="F13" i="24"/>
  <c r="E13" i="24"/>
  <c r="D13" i="24"/>
  <c r="C13" i="24"/>
  <c r="J4" i="24"/>
  <c r="J6" i="24"/>
  <c r="I7" i="24"/>
  <c r="H7" i="24"/>
  <c r="G7" i="24"/>
  <c r="F7" i="24"/>
  <c r="E7" i="24"/>
  <c r="D7" i="24"/>
  <c r="C7" i="24"/>
  <c r="K35" i="41"/>
  <c r="K31" i="41"/>
  <c r="K22" i="41"/>
  <c r="K16" i="41"/>
  <c r="K3" i="41"/>
  <c r="K5" i="41"/>
  <c r="J28" i="41"/>
  <c r="J29" i="41" s="1"/>
  <c r="I28" i="41"/>
  <c r="I29" i="41" s="1"/>
  <c r="H28" i="41"/>
  <c r="H29" i="41" s="1"/>
  <c r="G28" i="41"/>
  <c r="G29" i="41" s="1"/>
  <c r="F28" i="41"/>
  <c r="F29" i="41" s="1"/>
  <c r="E28" i="41"/>
  <c r="E29" i="41" s="1"/>
  <c r="D28" i="41"/>
  <c r="D29" i="41" s="1"/>
  <c r="C28" i="41"/>
  <c r="C29" i="41" s="1"/>
  <c r="J6" i="41"/>
  <c r="J4" i="41"/>
  <c r="H4" i="41"/>
  <c r="L30" i="35"/>
  <c r="L35" i="35"/>
  <c r="L25" i="35"/>
  <c r="L6" i="35"/>
  <c r="L47" i="53"/>
  <c r="L40" i="53"/>
  <c r="L34" i="53"/>
  <c r="L9" i="53"/>
  <c r="L11" i="53" s="1"/>
  <c r="L41" i="100"/>
  <c r="L49" i="100"/>
  <c r="L36" i="100"/>
  <c r="L27" i="100"/>
  <c r="L13" i="100"/>
  <c r="J13" i="100"/>
  <c r="J27" i="100"/>
  <c r="J36" i="100"/>
  <c r="J41" i="100"/>
  <c r="J49" i="100"/>
  <c r="I40" i="100"/>
  <c r="I22" i="100"/>
  <c r="H40" i="100"/>
  <c r="H22" i="100"/>
  <c r="G40" i="100"/>
  <c r="G22" i="100"/>
  <c r="F40" i="100"/>
  <c r="F22" i="100"/>
  <c r="E40" i="100"/>
  <c r="E22" i="100"/>
  <c r="D40" i="100"/>
  <c r="D22" i="100"/>
  <c r="C40" i="100"/>
  <c r="C22" i="100"/>
  <c r="I29" i="100"/>
  <c r="H29" i="100"/>
  <c r="G29" i="100"/>
  <c r="F29" i="100"/>
  <c r="E29" i="100"/>
  <c r="D29" i="100"/>
  <c r="C29" i="100"/>
  <c r="D13" i="100"/>
  <c r="D11" i="100"/>
  <c r="I4" i="100"/>
  <c r="I6" i="100"/>
  <c r="H4" i="100"/>
  <c r="H6" i="100"/>
  <c r="G6" i="100"/>
  <c r="F6" i="100"/>
  <c r="L39" i="21"/>
  <c r="L47" i="21"/>
  <c r="L34" i="21"/>
  <c r="L27" i="21"/>
  <c r="L11" i="21"/>
  <c r="K11" i="21"/>
  <c r="K27" i="21"/>
  <c r="K34" i="21"/>
  <c r="K39" i="21"/>
  <c r="K47" i="21"/>
  <c r="J20" i="21"/>
  <c r="J38" i="21"/>
  <c r="I38" i="21"/>
  <c r="I20" i="21"/>
  <c r="H38" i="21"/>
  <c r="H20" i="21"/>
  <c r="G38" i="21"/>
  <c r="G20" i="21"/>
  <c r="F38" i="21"/>
  <c r="F20" i="21"/>
  <c r="E38" i="21"/>
  <c r="E20" i="21"/>
  <c r="D38" i="21"/>
  <c r="D20" i="21"/>
  <c r="C38" i="21"/>
  <c r="C20" i="21"/>
  <c r="J29" i="21"/>
  <c r="I29" i="21"/>
  <c r="H29" i="21"/>
  <c r="G29" i="21"/>
  <c r="F29" i="21"/>
  <c r="E29" i="21"/>
  <c r="D29" i="21"/>
  <c r="C29" i="21"/>
  <c r="D11" i="21"/>
  <c r="D10" i="21"/>
  <c r="I4" i="21"/>
  <c r="I6" i="21"/>
  <c r="H4" i="21"/>
  <c r="H6" i="21"/>
  <c r="G6" i="21"/>
  <c r="F6" i="21"/>
  <c r="J6" i="21"/>
  <c r="J4" i="21"/>
  <c r="K14" i="19"/>
  <c r="K34" i="19"/>
  <c r="K39" i="19"/>
  <c r="J38" i="19"/>
  <c r="J39" i="19" s="1"/>
  <c r="I38" i="19"/>
  <c r="I39" i="19" s="1"/>
  <c r="H38" i="19"/>
  <c r="H39" i="19" s="1"/>
  <c r="G38" i="19"/>
  <c r="F38" i="19"/>
  <c r="F39" i="19" s="1"/>
  <c r="E38" i="19"/>
  <c r="D38" i="19"/>
  <c r="C38" i="19"/>
  <c r="J29" i="19"/>
  <c r="I29" i="19"/>
  <c r="H29" i="19"/>
  <c r="G29" i="19"/>
  <c r="F29" i="19"/>
  <c r="E29" i="19"/>
  <c r="D29" i="19"/>
  <c r="C29" i="19"/>
  <c r="D14" i="19"/>
  <c r="D13" i="19"/>
  <c r="I4" i="19"/>
  <c r="I6" i="19"/>
  <c r="H4" i="19"/>
  <c r="H6" i="19"/>
  <c r="G6" i="19"/>
  <c r="F6" i="19"/>
  <c r="J6" i="19"/>
  <c r="J4" i="19"/>
  <c r="K40" i="18"/>
  <c r="K47" i="18"/>
  <c r="K35" i="18"/>
  <c r="K28" i="18"/>
  <c r="K11" i="18"/>
  <c r="J20" i="18"/>
  <c r="J39" i="18"/>
  <c r="I39" i="18"/>
  <c r="I20" i="18"/>
  <c r="H39" i="18"/>
  <c r="H20" i="18"/>
  <c r="G39" i="18"/>
  <c r="G20" i="18"/>
  <c r="F39" i="18"/>
  <c r="F20" i="18"/>
  <c r="E39" i="18"/>
  <c r="E20" i="18"/>
  <c r="D39" i="18"/>
  <c r="D20" i="18"/>
  <c r="C39" i="18"/>
  <c r="C20" i="18"/>
  <c r="J30" i="18"/>
  <c r="I30" i="18"/>
  <c r="H30" i="18"/>
  <c r="G30" i="18"/>
  <c r="F30" i="18"/>
  <c r="E30" i="18"/>
  <c r="D30" i="18"/>
  <c r="C30" i="18"/>
  <c r="D11" i="18"/>
  <c r="I4" i="18"/>
  <c r="I6" i="18"/>
  <c r="H4" i="18"/>
  <c r="H6" i="18"/>
  <c r="G6" i="18"/>
  <c r="F6" i="18"/>
  <c r="J6" i="18"/>
  <c r="J4" i="18"/>
  <c r="K38" i="16"/>
  <c r="K46" i="16"/>
  <c r="K33" i="16"/>
  <c r="K26" i="16"/>
  <c r="K10" i="16"/>
  <c r="J19" i="16"/>
  <c r="J37" i="16"/>
  <c r="I37" i="16"/>
  <c r="I19" i="16"/>
  <c r="H37" i="16"/>
  <c r="H19" i="16"/>
  <c r="G37" i="16"/>
  <c r="G19" i="16"/>
  <c r="F37" i="16"/>
  <c r="F19" i="16"/>
  <c r="E37" i="16"/>
  <c r="E19" i="16"/>
  <c r="D37" i="16"/>
  <c r="D19" i="16"/>
  <c r="C37" i="16"/>
  <c r="C19" i="16"/>
  <c r="J28" i="16"/>
  <c r="I28" i="16"/>
  <c r="H28" i="16"/>
  <c r="G28" i="16"/>
  <c r="F28" i="16"/>
  <c r="E28" i="16"/>
  <c r="D28" i="16"/>
  <c r="C28" i="16"/>
  <c r="D10" i="16"/>
  <c r="I4" i="16"/>
  <c r="I6" i="16"/>
  <c r="H4" i="16"/>
  <c r="H6" i="16"/>
  <c r="G6" i="16"/>
  <c r="F6" i="16"/>
  <c r="J6" i="16"/>
  <c r="J4" i="16"/>
  <c r="K41" i="17"/>
  <c r="K48" i="17"/>
  <c r="K36" i="17"/>
  <c r="K30" i="17"/>
  <c r="H4" i="17"/>
  <c r="I4" i="17"/>
  <c r="J4" i="17"/>
  <c r="F6" i="17"/>
  <c r="G6" i="17"/>
  <c r="H6" i="17"/>
  <c r="I6" i="17"/>
  <c r="J6" i="17"/>
  <c r="D11" i="17"/>
  <c r="D12" i="17"/>
  <c r="C21" i="17"/>
  <c r="D21" i="17"/>
  <c r="E21" i="17"/>
  <c r="F21" i="17"/>
  <c r="G21" i="17"/>
  <c r="H21" i="17"/>
  <c r="I21" i="17"/>
  <c r="J21" i="17"/>
  <c r="C32" i="17"/>
  <c r="D32" i="17"/>
  <c r="E32" i="17"/>
  <c r="F32" i="17"/>
  <c r="G32" i="17"/>
  <c r="H32" i="17"/>
  <c r="I32" i="17"/>
  <c r="J32" i="17"/>
  <c r="C40" i="17"/>
  <c r="D40" i="17"/>
  <c r="E40" i="17"/>
  <c r="F40" i="17"/>
  <c r="G40" i="17"/>
  <c r="G41" i="17" s="1"/>
  <c r="H40" i="17"/>
  <c r="I40" i="17"/>
  <c r="J40" i="17"/>
  <c r="C41" i="17"/>
  <c r="D41" i="17"/>
  <c r="E41" i="17"/>
  <c r="F41" i="17"/>
  <c r="H41" i="17"/>
  <c r="I41" i="17"/>
  <c r="J41" i="17"/>
  <c r="L39" i="83"/>
  <c r="L34" i="83"/>
  <c r="L28" i="83"/>
  <c r="L11" i="83"/>
  <c r="K28" i="83"/>
  <c r="K39" i="83"/>
  <c r="K34" i="83"/>
  <c r="K7" i="83"/>
  <c r="K11" i="83" s="1"/>
  <c r="J39" i="83"/>
  <c r="I39" i="83"/>
  <c r="H39" i="83"/>
  <c r="G39" i="83"/>
  <c r="K5" i="40"/>
  <c r="K3" i="40"/>
  <c r="M8" i="63"/>
  <c r="K32" i="35"/>
  <c r="K10" i="35"/>
  <c r="K18" i="35" s="1"/>
  <c r="K4" i="35"/>
  <c r="L37" i="38"/>
  <c r="L32" i="38"/>
  <c r="L17" i="38"/>
  <c r="L4" i="38"/>
  <c r="L6" i="38"/>
  <c r="K28" i="53"/>
  <c r="K19" i="53"/>
  <c r="M5" i="75"/>
  <c r="M7" i="75" s="1"/>
  <c r="L6" i="51"/>
  <c r="K32" i="31"/>
  <c r="K26" i="31"/>
  <c r="K21" i="31"/>
  <c r="G19" i="92"/>
  <c r="G26" i="92"/>
  <c r="G22" i="92"/>
  <c r="G7" i="92"/>
  <c r="G8" i="92" s="1"/>
  <c r="I48" i="107"/>
  <c r="H48" i="107"/>
  <c r="G48" i="107"/>
  <c r="I47" i="107"/>
  <c r="H47" i="107"/>
  <c r="G47" i="107"/>
  <c r="E47" i="107"/>
  <c r="D47" i="107"/>
  <c r="C47" i="107"/>
  <c r="J44" i="83"/>
  <c r="I44" i="83"/>
  <c r="H44" i="83"/>
  <c r="G44" i="83"/>
  <c r="F44" i="83"/>
  <c r="E44" i="83"/>
  <c r="D44" i="83"/>
  <c r="C44" i="83"/>
  <c r="J34" i="83"/>
  <c r="J28" i="83"/>
  <c r="J11" i="83"/>
  <c r="L21" i="114"/>
  <c r="L17" i="114"/>
  <c r="L4" i="114"/>
  <c r="L6" i="114"/>
  <c r="L41" i="63"/>
  <c r="L31" i="63"/>
  <c r="L25" i="63"/>
  <c r="L8" i="63"/>
  <c r="M14" i="63"/>
  <c r="M17" i="63"/>
  <c r="M19" i="63"/>
  <c r="M20" i="63"/>
  <c r="M41" i="63"/>
  <c r="M28" i="63"/>
  <c r="M30" i="63"/>
  <c r="L23" i="51"/>
  <c r="K23" i="51"/>
  <c r="L29" i="51"/>
  <c r="K29" i="51"/>
  <c r="L40" i="51"/>
  <c r="K40" i="51"/>
  <c r="L4" i="51"/>
  <c r="K8" i="51"/>
  <c r="M17" i="75"/>
  <c r="M34" i="75"/>
  <c r="L7" i="75"/>
  <c r="L34" i="75"/>
  <c r="M23" i="75"/>
  <c r="L23" i="75"/>
  <c r="L17" i="75"/>
  <c r="K16" i="40"/>
  <c r="K36" i="40"/>
  <c r="K32" i="40"/>
  <c r="J4" i="40"/>
  <c r="J6" i="40"/>
  <c r="J4" i="35"/>
  <c r="J13" i="35"/>
  <c r="J25" i="35"/>
  <c r="J32" i="35"/>
  <c r="J13" i="114"/>
  <c r="J10" i="114"/>
  <c r="J7" i="114"/>
  <c r="I13" i="114"/>
  <c r="I10" i="114"/>
  <c r="I7" i="114"/>
  <c r="H13" i="114"/>
  <c r="H10" i="114"/>
  <c r="H4" i="114"/>
  <c r="H7" i="114" s="1"/>
  <c r="G13" i="114"/>
  <c r="G10" i="114"/>
  <c r="G7" i="114"/>
  <c r="F13" i="114"/>
  <c r="F10" i="114"/>
  <c r="F7" i="114"/>
  <c r="E13" i="114"/>
  <c r="E10" i="114"/>
  <c r="E7" i="114"/>
  <c r="D10" i="114"/>
  <c r="D7" i="114"/>
  <c r="C13" i="114"/>
  <c r="C10" i="114"/>
  <c r="C7" i="114"/>
  <c r="I34" i="83"/>
  <c r="I28" i="83"/>
  <c r="I11" i="83"/>
  <c r="H34" i="83"/>
  <c r="H28" i="83"/>
  <c r="H11" i="83"/>
  <c r="G34" i="83"/>
  <c r="G28" i="83"/>
  <c r="G7" i="83"/>
  <c r="G11" i="83" s="1"/>
  <c r="F24" i="91"/>
  <c r="K29" i="75"/>
  <c r="K20" i="75"/>
  <c r="K14" i="75"/>
  <c r="K8" i="75"/>
  <c r="F16" i="92"/>
  <c r="J29" i="40"/>
  <c r="J30" i="40" s="1"/>
  <c r="J38" i="181" s="1"/>
  <c r="J22" i="53"/>
  <c r="K13" i="63"/>
  <c r="K6" i="63"/>
  <c r="J29" i="75"/>
  <c r="J20" i="75"/>
  <c r="J14" i="75"/>
  <c r="J8" i="75"/>
  <c r="E16" i="92"/>
  <c r="I25" i="35"/>
  <c r="I32" i="35"/>
  <c r="I13" i="35"/>
  <c r="I29" i="40"/>
  <c r="I30" i="40" s="1"/>
  <c r="I38" i="181" s="1"/>
  <c r="I22" i="53"/>
  <c r="J13" i="63"/>
  <c r="D24" i="91"/>
  <c r="I29" i="75"/>
  <c r="I20" i="75"/>
  <c r="I14" i="75"/>
  <c r="I8" i="75"/>
  <c r="D16" i="92"/>
  <c r="D5" i="92"/>
  <c r="H25" i="35"/>
  <c r="H32" i="35"/>
  <c r="H13" i="35"/>
  <c r="H4" i="35"/>
  <c r="H29" i="40"/>
  <c r="H30" i="40" s="1"/>
  <c r="H4" i="40"/>
  <c r="H22" i="53"/>
  <c r="I13" i="63"/>
  <c r="E21" i="63"/>
  <c r="F21" i="63" s="1"/>
  <c r="E36" i="63"/>
  <c r="F36" i="63" s="1"/>
  <c r="H36" i="63" s="1"/>
  <c r="E14" i="63"/>
  <c r="F14" i="63" s="1"/>
  <c r="H14" i="63" s="1"/>
  <c r="E13" i="63"/>
  <c r="F22" i="53"/>
  <c r="E22" i="53"/>
  <c r="F29" i="40"/>
  <c r="F30" i="40" s="1"/>
  <c r="F38" i="181" s="1"/>
  <c r="E29" i="40"/>
  <c r="E30" i="40" s="1"/>
  <c r="E38" i="181" s="1"/>
  <c r="D29" i="40"/>
  <c r="D30" i="40" s="1"/>
  <c r="D38" i="181" s="1"/>
  <c r="F25" i="35"/>
  <c r="F32" i="35"/>
  <c r="F13" i="35"/>
  <c r="E25" i="35"/>
  <c r="E32" i="35"/>
  <c r="E13" i="35"/>
  <c r="D32" i="35"/>
  <c r="D25" i="35"/>
  <c r="D13" i="35"/>
  <c r="K4" i="38"/>
  <c r="I6" i="107"/>
  <c r="I7" i="107"/>
  <c r="I8" i="107"/>
  <c r="I9" i="107"/>
  <c r="I10" i="107"/>
  <c r="I11" i="107"/>
  <c r="I12" i="107"/>
  <c r="I13" i="107"/>
  <c r="I15" i="107"/>
  <c r="I16" i="107"/>
  <c r="I19" i="107"/>
  <c r="I20" i="107"/>
  <c r="I21" i="107"/>
  <c r="I25" i="107"/>
  <c r="I26" i="107"/>
  <c r="I29" i="107"/>
  <c r="I31" i="107"/>
  <c r="I32" i="107"/>
  <c r="I34" i="107"/>
  <c r="I35" i="107"/>
  <c r="I36" i="107"/>
  <c r="I37" i="107"/>
  <c r="I38" i="107"/>
  <c r="I39" i="107"/>
  <c r="I41" i="107"/>
  <c r="I42" i="107"/>
  <c r="I43" i="107"/>
  <c r="I44" i="107"/>
  <c r="I45" i="107"/>
  <c r="H2" i="107"/>
  <c r="H3" i="107"/>
  <c r="H6" i="107"/>
  <c r="H7" i="107"/>
  <c r="H8" i="107"/>
  <c r="H9" i="107"/>
  <c r="H10" i="107"/>
  <c r="H11" i="107"/>
  <c r="H13" i="107"/>
  <c r="H15" i="107"/>
  <c r="H16" i="107"/>
  <c r="H19" i="107"/>
  <c r="H20" i="107"/>
  <c r="H21" i="107"/>
  <c r="H25" i="107"/>
  <c r="H26" i="107"/>
  <c r="H27" i="107"/>
  <c r="H29" i="107"/>
  <c r="H31" i="107"/>
  <c r="H34" i="107"/>
  <c r="H35" i="107"/>
  <c r="H36" i="107"/>
  <c r="H37" i="107"/>
  <c r="H39" i="107"/>
  <c r="H41" i="107"/>
  <c r="H42" i="107"/>
  <c r="H43" i="107"/>
  <c r="H44" i="107"/>
  <c r="H45" i="107"/>
  <c r="G2" i="107"/>
  <c r="G3" i="107"/>
  <c r="G6" i="107"/>
  <c r="G7" i="107"/>
  <c r="G8" i="107"/>
  <c r="G9" i="107"/>
  <c r="G10" i="107"/>
  <c r="G11" i="107"/>
  <c r="G12" i="107"/>
  <c r="G13" i="107"/>
  <c r="G15" i="107"/>
  <c r="G16" i="107"/>
  <c r="G19" i="107"/>
  <c r="G20" i="107"/>
  <c r="G21" i="107"/>
  <c r="G24" i="107"/>
  <c r="G25" i="107"/>
  <c r="G26" i="107"/>
  <c r="G29" i="107"/>
  <c r="G31" i="107"/>
  <c r="G34" i="107"/>
  <c r="G35" i="107"/>
  <c r="G36" i="107"/>
  <c r="G37" i="107"/>
  <c r="G38" i="107"/>
  <c r="G39" i="107"/>
  <c r="G41" i="107"/>
  <c r="G42" i="107"/>
  <c r="G43" i="107"/>
  <c r="G44" i="107"/>
  <c r="G45" i="107"/>
  <c r="F6" i="107"/>
  <c r="F7" i="107"/>
  <c r="F11" i="107"/>
  <c r="E5" i="107"/>
  <c r="D3" i="107"/>
  <c r="C2" i="107"/>
  <c r="E45" i="107"/>
  <c r="D45" i="107"/>
  <c r="C45" i="107"/>
  <c r="E44" i="107"/>
  <c r="D44" i="107"/>
  <c r="C44" i="107"/>
  <c r="E43" i="107"/>
  <c r="D43" i="107"/>
  <c r="C43" i="107"/>
  <c r="E42" i="107"/>
  <c r="D42" i="107"/>
  <c r="C42" i="107"/>
  <c r="E41" i="107"/>
  <c r="D41" i="107"/>
  <c r="C41" i="107"/>
  <c r="E39" i="107"/>
  <c r="D39" i="107"/>
  <c r="C39" i="107"/>
  <c r="E38" i="107"/>
  <c r="D38" i="107"/>
  <c r="C38" i="107"/>
  <c r="E37" i="107"/>
  <c r="D37" i="107"/>
  <c r="C37" i="107"/>
  <c r="E36" i="107"/>
  <c r="D36" i="107"/>
  <c r="C36" i="107"/>
  <c r="E35" i="107"/>
  <c r="D35" i="107"/>
  <c r="C35" i="107"/>
  <c r="E34" i="107"/>
  <c r="D34" i="107"/>
  <c r="C34" i="107"/>
  <c r="D32" i="107"/>
  <c r="E31" i="107"/>
  <c r="D31" i="107"/>
  <c r="C31" i="107"/>
  <c r="E29" i="107"/>
  <c r="D29" i="107"/>
  <c r="C29" i="107"/>
  <c r="D27" i="107"/>
  <c r="E26" i="107"/>
  <c r="D26" i="107"/>
  <c r="C26" i="107"/>
  <c r="E24" i="107"/>
  <c r="D24" i="107"/>
  <c r="C24" i="107"/>
  <c r="E20" i="107"/>
  <c r="D20" i="107"/>
  <c r="C20" i="107"/>
  <c r="E19" i="107"/>
  <c r="D19" i="107"/>
  <c r="C19" i="107"/>
  <c r="E16" i="107"/>
  <c r="D16" i="107"/>
  <c r="C16" i="107"/>
  <c r="E15" i="107"/>
  <c r="D15" i="107"/>
  <c r="C15" i="107"/>
  <c r="E13" i="107"/>
  <c r="D13" i="107"/>
  <c r="C13" i="107"/>
  <c r="E12" i="107"/>
  <c r="E11" i="107"/>
  <c r="D11" i="107"/>
  <c r="C11" i="107"/>
  <c r="E10" i="107"/>
  <c r="D10" i="107"/>
  <c r="C10" i="107"/>
  <c r="E9" i="107"/>
  <c r="D9" i="107"/>
  <c r="C9" i="107"/>
  <c r="E8" i="107"/>
  <c r="D8" i="107"/>
  <c r="C8" i="107"/>
  <c r="E7" i="107"/>
  <c r="D7" i="107"/>
  <c r="C7" i="107"/>
  <c r="E6" i="107"/>
  <c r="D6" i="107"/>
  <c r="C6" i="107"/>
  <c r="D5" i="107"/>
  <c r="C5" i="107"/>
  <c r="C3" i="107"/>
  <c r="J15" i="31"/>
  <c r="K25" i="38"/>
  <c r="K19" i="38"/>
  <c r="K13" i="38"/>
  <c r="K6" i="38"/>
  <c r="J15" i="53"/>
  <c r="J36" i="51"/>
  <c r="J18" i="51"/>
  <c r="J9" i="51"/>
  <c r="I15" i="53"/>
  <c r="I28" i="31"/>
  <c r="I11" i="31"/>
  <c r="I15" i="31" s="1"/>
  <c r="J4" i="38"/>
  <c r="J25" i="38"/>
  <c r="J19" i="38"/>
  <c r="J13" i="38"/>
  <c r="I36" i="51"/>
  <c r="I18" i="51"/>
  <c r="I9" i="51"/>
  <c r="E4" i="91"/>
  <c r="E24" i="91"/>
  <c r="E25" i="91" s="1"/>
  <c r="H15" i="31"/>
  <c r="H4" i="31"/>
  <c r="I4" i="38"/>
  <c r="I25" i="38"/>
  <c r="I19" i="38"/>
  <c r="I13" i="38"/>
  <c r="H15" i="53"/>
  <c r="H36" i="51"/>
  <c r="H24" i="51"/>
  <c r="H18" i="51"/>
  <c r="H9" i="51"/>
  <c r="D18" i="1"/>
  <c r="D21" i="1" s="1"/>
  <c r="G3" i="181" s="1"/>
  <c r="C4" i="1"/>
  <c r="C21" i="1"/>
  <c r="F3" i="181" s="1"/>
  <c r="F40" i="51"/>
  <c r="F36" i="51"/>
  <c r="F18" i="51"/>
  <c r="F9" i="51"/>
  <c r="E36" i="51"/>
  <c r="E18" i="51"/>
  <c r="E9" i="51"/>
  <c r="D36" i="51"/>
  <c r="D24" i="51"/>
  <c r="D18" i="51"/>
  <c r="D9" i="51"/>
  <c r="F15" i="53"/>
  <c r="E15" i="53"/>
  <c r="D22" i="53"/>
  <c r="D15" i="53"/>
  <c r="F15" i="31"/>
  <c r="E15" i="31"/>
  <c r="D15" i="31"/>
  <c r="C15" i="31"/>
  <c r="G15" i="31"/>
  <c r="F35" i="31"/>
  <c r="D23" i="1"/>
  <c r="O27" i="1"/>
  <c r="O32" i="1"/>
  <c r="O52" i="1"/>
  <c r="O54" i="1"/>
  <c r="C13" i="35"/>
  <c r="G13" i="35"/>
  <c r="G4" i="35"/>
  <c r="C25" i="35"/>
  <c r="G25" i="35"/>
  <c r="C32" i="35"/>
  <c r="G32" i="35"/>
  <c r="F36" i="35"/>
  <c r="C29" i="40"/>
  <c r="C30" i="40" s="1"/>
  <c r="G29" i="40"/>
  <c r="G30" i="40" s="1"/>
  <c r="F7" i="83"/>
  <c r="F55" i="83"/>
  <c r="G4" i="53"/>
  <c r="C15" i="53"/>
  <c r="G15" i="53"/>
  <c r="C22" i="53"/>
  <c r="G22" i="53"/>
  <c r="F40" i="53"/>
  <c r="F43" i="53"/>
  <c r="C9" i="51"/>
  <c r="G9" i="51"/>
  <c r="C18" i="51"/>
  <c r="G18" i="51"/>
  <c r="C24" i="51"/>
  <c r="E24" i="51"/>
  <c r="G24" i="51"/>
  <c r="C36" i="51"/>
  <c r="G36" i="51"/>
  <c r="F45" i="51"/>
  <c r="H5" i="63"/>
  <c r="H6" i="63"/>
  <c r="G7" i="63"/>
  <c r="H7" i="63" s="1"/>
  <c r="H8" i="63"/>
  <c r="H9" i="63"/>
  <c r="H11" i="63"/>
  <c r="C13" i="63"/>
  <c r="G13" i="63"/>
  <c r="H16" i="63"/>
  <c r="H17" i="63"/>
  <c r="H18" i="63"/>
  <c r="H19" i="63"/>
  <c r="H20" i="63"/>
  <c r="H25" i="63"/>
  <c r="H26" i="63"/>
  <c r="H27" i="63"/>
  <c r="H28" i="63"/>
  <c r="H29" i="63"/>
  <c r="H30" i="63"/>
  <c r="H31" i="63"/>
  <c r="H37" i="63"/>
  <c r="H41" i="63"/>
  <c r="F48" i="63"/>
  <c r="F44" i="23"/>
  <c r="H4" i="75"/>
  <c r="H8" i="75" s="1"/>
  <c r="C8" i="75"/>
  <c r="D8" i="75"/>
  <c r="E8" i="75"/>
  <c r="F8" i="75"/>
  <c r="G8" i="75"/>
  <c r="C14" i="75"/>
  <c r="D14" i="75"/>
  <c r="E14" i="75"/>
  <c r="F14" i="75"/>
  <c r="G14" i="75"/>
  <c r="H14" i="75"/>
  <c r="C20" i="75"/>
  <c r="E20" i="75"/>
  <c r="F20" i="75"/>
  <c r="G20" i="75"/>
  <c r="H20" i="75"/>
  <c r="C29" i="75"/>
  <c r="D29" i="75"/>
  <c r="E29" i="75"/>
  <c r="F29" i="75"/>
  <c r="G29" i="75"/>
  <c r="H29" i="75"/>
  <c r="O23" i="174" l="1"/>
  <c r="O51" i="174" s="1"/>
  <c r="Q52" i="181" s="1"/>
  <c r="R29" i="51"/>
  <c r="G25" i="214" s="1"/>
  <c r="S27" i="51"/>
  <c r="S29" i="38"/>
  <c r="T15" i="38"/>
  <c r="K52" i="83"/>
  <c r="I52" i="83"/>
  <c r="L52" i="83"/>
  <c r="G52" i="83"/>
  <c r="G5" i="181" s="1"/>
  <c r="H52" i="83"/>
  <c r="H5" i="181" s="1"/>
  <c r="J52" i="83"/>
  <c r="J5" i="181" s="1"/>
  <c r="E34" i="63"/>
  <c r="E35" i="63" s="1"/>
  <c r="L8" i="41"/>
  <c r="Q21" i="114"/>
  <c r="Q37" i="114" s="1"/>
  <c r="R17" i="114"/>
  <c r="R21" i="114" s="1"/>
  <c r="R37" i="114" s="1"/>
  <c r="P21" i="181" s="1"/>
  <c r="L47" i="41"/>
  <c r="H7" i="23"/>
  <c r="H38" i="181"/>
  <c r="G33" i="107"/>
  <c r="C40" i="18"/>
  <c r="E40" i="18"/>
  <c r="G40" i="18"/>
  <c r="K54" i="19"/>
  <c r="L26" i="41"/>
  <c r="L33" i="41"/>
  <c r="O36" i="181"/>
  <c r="J54" i="181"/>
  <c r="P46" i="24"/>
  <c r="Q46" i="24" s="1"/>
  <c r="Q48" i="24" s="1"/>
  <c r="Q52" i="24" s="1"/>
  <c r="P16" i="181" s="1"/>
  <c r="O48" i="24"/>
  <c r="O52" i="24" s="1"/>
  <c r="N16" i="181" s="1"/>
  <c r="N48" i="24"/>
  <c r="K34" i="53"/>
  <c r="K36" i="41"/>
  <c r="J9" i="25"/>
  <c r="J30" i="25" s="1"/>
  <c r="J17" i="181" s="1"/>
  <c r="M52" i="24"/>
  <c r="K25" i="107"/>
  <c r="L25" i="107" s="1"/>
  <c r="K20" i="107"/>
  <c r="L20" i="107" s="1"/>
  <c r="L23" i="181"/>
  <c r="H49" i="116"/>
  <c r="L20" i="181"/>
  <c r="K15" i="107"/>
  <c r="L15" i="107" s="1"/>
  <c r="L18" i="181"/>
  <c r="L12" i="181"/>
  <c r="K48" i="21"/>
  <c r="C39" i="21"/>
  <c r="G39" i="21"/>
  <c r="I39" i="21"/>
  <c r="J39" i="21"/>
  <c r="K23" i="107"/>
  <c r="L23" i="107" s="1"/>
  <c r="L26" i="181"/>
  <c r="K6" i="107"/>
  <c r="L6" i="107" s="1"/>
  <c r="L6" i="181"/>
  <c r="J35" i="181"/>
  <c r="K21" i="107"/>
  <c r="L21" i="107" s="1"/>
  <c r="L24" i="181"/>
  <c r="K33" i="107"/>
  <c r="L33" i="107" s="1"/>
  <c r="L38" i="181"/>
  <c r="K42" i="107"/>
  <c r="L42" i="107" s="1"/>
  <c r="K8" i="107"/>
  <c r="L8" i="107" s="1"/>
  <c r="L8" i="181"/>
  <c r="K10" i="107"/>
  <c r="L10" i="107" s="1"/>
  <c r="L10" i="181"/>
  <c r="K4" i="107"/>
  <c r="L4" i="107" s="1"/>
  <c r="L4" i="181"/>
  <c r="K18" i="107"/>
  <c r="L18" i="107" s="1"/>
  <c r="L21" i="181"/>
  <c r="L44" i="181"/>
  <c r="L35" i="181"/>
  <c r="K26" i="107"/>
  <c r="L26" i="107" s="1"/>
  <c r="L30" i="181"/>
  <c r="K28" i="107"/>
  <c r="L28" i="107" s="1"/>
  <c r="L32" i="181"/>
  <c r="K31" i="107"/>
  <c r="L31" i="107" s="1"/>
  <c r="L36" i="181"/>
  <c r="K41" i="107"/>
  <c r="L41" i="107" s="1"/>
  <c r="L50" i="181"/>
  <c r="K7" i="107"/>
  <c r="L7" i="107" s="1"/>
  <c r="L7" i="181"/>
  <c r="K5" i="107"/>
  <c r="L5" i="107" s="1"/>
  <c r="L5" i="181"/>
  <c r="K44" i="107"/>
  <c r="L44" i="107" s="1"/>
  <c r="L52" i="181"/>
  <c r="F40" i="18"/>
  <c r="L17" i="107"/>
  <c r="D33" i="107"/>
  <c r="D25" i="91"/>
  <c r="H4" i="181" s="1"/>
  <c r="M35" i="75"/>
  <c r="L38" i="38"/>
  <c r="F38" i="16"/>
  <c r="H38" i="16"/>
  <c r="I38" i="16"/>
  <c r="J38" i="16"/>
  <c r="I40" i="18"/>
  <c r="J40" i="18"/>
  <c r="F41" i="100"/>
  <c r="H41" i="100"/>
  <c r="I41" i="100"/>
  <c r="J53" i="100"/>
  <c r="L8" i="35"/>
  <c r="L46" i="35" s="1"/>
  <c r="K42" i="23"/>
  <c r="L49" i="116"/>
  <c r="N14" i="63"/>
  <c r="O14" i="63" s="1"/>
  <c r="M25" i="63"/>
  <c r="F35" i="181"/>
  <c r="L53" i="100"/>
  <c r="M37" i="114"/>
  <c r="D38" i="16"/>
  <c r="E38" i="16"/>
  <c r="K51" i="107"/>
  <c r="L51" i="107" s="1"/>
  <c r="F13" i="63"/>
  <c r="F34" i="63" s="1"/>
  <c r="N28" i="63"/>
  <c r="O28" i="63" s="1"/>
  <c r="N20" i="63"/>
  <c r="N17" i="63"/>
  <c r="P17" i="63" s="1"/>
  <c r="Q17" i="63" s="1"/>
  <c r="Q25" i="63" s="1"/>
  <c r="Q45" i="63" s="1"/>
  <c r="P54" i="181" s="1"/>
  <c r="H54" i="181"/>
  <c r="E30" i="107"/>
  <c r="H35" i="181"/>
  <c r="I35" i="181"/>
  <c r="G30" i="107"/>
  <c r="D35" i="181"/>
  <c r="L11" i="107"/>
  <c r="M9" i="38"/>
  <c r="M50" i="38" s="1"/>
  <c r="D40" i="18"/>
  <c r="H40" i="18"/>
  <c r="K50" i="18"/>
  <c r="K55" i="17"/>
  <c r="L8" i="51"/>
  <c r="L41" i="51" s="1"/>
  <c r="I5" i="181"/>
  <c r="J66" i="44"/>
  <c r="L9" i="114"/>
  <c r="L22" i="114" s="1"/>
  <c r="D39" i="19"/>
  <c r="E39" i="19"/>
  <c r="C39" i="19"/>
  <c r="G39" i="19"/>
  <c r="H21" i="63"/>
  <c r="I54" i="181"/>
  <c r="M31" i="63"/>
  <c r="L45" i="63"/>
  <c r="D41" i="100"/>
  <c r="E41" i="100"/>
  <c r="C41" i="100"/>
  <c r="G41" i="100"/>
  <c r="L51" i="53"/>
  <c r="L55" i="31"/>
  <c r="L42" i="23"/>
  <c r="L35" i="75"/>
  <c r="L51" i="40"/>
  <c r="L43" i="162"/>
  <c r="L59" i="162" s="1"/>
  <c r="M42" i="162"/>
  <c r="K34" i="31"/>
  <c r="C29" i="116"/>
  <c r="D29" i="116"/>
  <c r="E29" i="116"/>
  <c r="G29" i="116"/>
  <c r="F30" i="25"/>
  <c r="F17" i="181" s="1"/>
  <c r="K11" i="25"/>
  <c r="K32" i="25" s="1"/>
  <c r="D30" i="25"/>
  <c r="D17" i="181" s="1"/>
  <c r="E30" i="25"/>
  <c r="E17" i="181" s="1"/>
  <c r="E14" i="107"/>
  <c r="G30" i="25"/>
  <c r="I30" i="25"/>
  <c r="I17" i="181" s="1"/>
  <c r="C30" i="25"/>
  <c r="H30" i="25"/>
  <c r="H17" i="181" s="1"/>
  <c r="L48" i="25"/>
  <c r="J7" i="24"/>
  <c r="L52" i="24"/>
  <c r="E39" i="21"/>
  <c r="F39" i="21"/>
  <c r="K47" i="16"/>
  <c r="C38" i="16"/>
  <c r="G38" i="16"/>
  <c r="H7" i="163"/>
  <c r="I40" i="163"/>
  <c r="L59" i="28"/>
  <c r="I17" i="28"/>
  <c r="D39" i="21"/>
  <c r="H39" i="21"/>
  <c r="L48" i="21"/>
  <c r="K41" i="51"/>
  <c r="H50" i="92"/>
  <c r="G27" i="92"/>
  <c r="H33" i="107"/>
  <c r="C30" i="107"/>
  <c r="E35" i="181"/>
  <c r="I32" i="23"/>
  <c r="D12" i="107"/>
  <c r="F25" i="91"/>
  <c r="J4" i="181" s="1"/>
  <c r="E2" i="107"/>
  <c r="D2" i="107"/>
  <c r="F3" i="107"/>
  <c r="F2" i="107"/>
  <c r="C12" i="107"/>
  <c r="E32" i="107"/>
  <c r="C33" i="107"/>
  <c r="C40" i="107"/>
  <c r="D40" i="107"/>
  <c r="E40" i="107"/>
  <c r="G32" i="107"/>
  <c r="H32" i="107"/>
  <c r="C27" i="107"/>
  <c r="D30" i="107"/>
  <c r="I27" i="107"/>
  <c r="E3" i="107"/>
  <c r="C32" i="107"/>
  <c r="E33" i="107"/>
  <c r="G40" i="107"/>
  <c r="H40" i="107"/>
  <c r="H38" i="107"/>
  <c r="H12" i="107"/>
  <c r="I40" i="107"/>
  <c r="I33" i="107"/>
  <c r="G27" i="107"/>
  <c r="I30" i="107"/>
  <c r="F30" i="116"/>
  <c r="F31" i="116" s="1"/>
  <c r="G65" i="214" l="1"/>
  <c r="C9" i="197" s="1"/>
  <c r="S50" i="38"/>
  <c r="Q36" i="181" s="1"/>
  <c r="T29" i="38"/>
  <c r="U15" i="38"/>
  <c r="Q13" i="174"/>
  <c r="P23" i="174"/>
  <c r="S29" i="51"/>
  <c r="R41" i="51"/>
  <c r="H13" i="63"/>
  <c r="R17" i="63"/>
  <c r="R46" i="24"/>
  <c r="S46" i="24" s="1"/>
  <c r="F35" i="63"/>
  <c r="H34" i="63"/>
  <c r="P25" i="63"/>
  <c r="P45" i="63" s="1"/>
  <c r="G4" i="107"/>
  <c r="L57" i="41"/>
  <c r="F5" i="107"/>
  <c r="G5" i="107"/>
  <c r="G46" i="107"/>
  <c r="E54" i="181"/>
  <c r="D46" i="107"/>
  <c r="I46" i="107"/>
  <c r="H46" i="107"/>
  <c r="H5" i="107"/>
  <c r="C14" i="107"/>
  <c r="F31" i="25"/>
  <c r="F32" i="25" s="1"/>
  <c r="O4" i="181"/>
  <c r="P48" i="24"/>
  <c r="P52" i="24" s="1"/>
  <c r="O52" i="181"/>
  <c r="O31" i="63"/>
  <c r="O25" i="63"/>
  <c r="O30" i="181"/>
  <c r="N52" i="24"/>
  <c r="M16" i="181" s="1"/>
  <c r="N42" i="162"/>
  <c r="N43" i="162" s="1"/>
  <c r="M43" i="162"/>
  <c r="M59" i="162" s="1"/>
  <c r="L29" i="181" s="1"/>
  <c r="N31" i="63"/>
  <c r="N25" i="63"/>
  <c r="I4" i="107"/>
  <c r="H30" i="107"/>
  <c r="K14" i="107"/>
  <c r="L14" i="107" s="1"/>
  <c r="L17" i="181"/>
  <c r="K13" i="107"/>
  <c r="L13" i="107" s="1"/>
  <c r="L16" i="181"/>
  <c r="K50" i="107"/>
  <c r="L50" i="107" s="1"/>
  <c r="I5" i="107"/>
  <c r="M45" i="63"/>
  <c r="D14" i="107"/>
  <c r="I14" i="107"/>
  <c r="G14" i="107"/>
  <c r="H14" i="107"/>
  <c r="E27" i="107"/>
  <c r="F36" i="214" l="1"/>
  <c r="T50" i="38"/>
  <c r="F52" i="214"/>
  <c r="P51" i="174"/>
  <c r="S25" i="63"/>
  <c r="T17" i="63"/>
  <c r="R25" i="181"/>
  <c r="S25" i="181" s="1"/>
  <c r="S41" i="51"/>
  <c r="Q23" i="174"/>
  <c r="S48" i="24"/>
  <c r="I16" i="214" s="1"/>
  <c r="I65" i="214" s="1"/>
  <c r="T46" i="24"/>
  <c r="U29" i="38"/>
  <c r="R48" i="24"/>
  <c r="R25" i="63"/>
  <c r="H35" i="63"/>
  <c r="O21" i="181"/>
  <c r="O45" i="63"/>
  <c r="N59" i="162"/>
  <c r="M29" i="181" s="1"/>
  <c r="N45" i="63"/>
  <c r="L54" i="181" s="1"/>
  <c r="K34" i="107"/>
  <c r="L34" i="107" s="1"/>
  <c r="K24" i="107"/>
  <c r="F54" i="214" l="1"/>
  <c r="S45" i="63"/>
  <c r="F65" i="214"/>
  <c r="Q65" i="214" s="1"/>
  <c r="R36" i="181"/>
  <c r="S36" i="181" s="1"/>
  <c r="U50" i="38"/>
  <c r="R52" i="181"/>
  <c r="S52" i="181" s="1"/>
  <c r="Q51" i="174"/>
  <c r="S52" i="24"/>
  <c r="T48" i="24"/>
  <c r="T25" i="63"/>
  <c r="R45" i="63"/>
  <c r="Q54" i="181" s="1"/>
  <c r="R52" i="24"/>
  <c r="Q16" i="181" s="1"/>
  <c r="C11" i="197"/>
  <c r="K46" i="107"/>
  <c r="L46" i="107" s="1"/>
  <c r="M54" i="181"/>
  <c r="N54" i="181"/>
  <c r="O16" i="181"/>
  <c r="L24" i="107"/>
  <c r="T45" i="63" l="1"/>
  <c r="R54" i="181"/>
  <c r="S54" i="181" s="1"/>
  <c r="R16" i="181"/>
  <c r="Z50" i="181" s="1"/>
  <c r="Z51" i="181" s="1"/>
  <c r="T52" i="24"/>
  <c r="F54" i="181"/>
  <c r="E46" i="107"/>
  <c r="O54" i="181"/>
  <c r="K12" i="107"/>
  <c r="S16" i="181" l="1"/>
  <c r="L12" i="107"/>
  <c r="L31" i="181" l="1"/>
  <c r="K27" i="107"/>
  <c r="L27" i="107" l="1"/>
  <c r="K29" i="107" l="1"/>
  <c r="K54" i="107" s="1"/>
  <c r="L33" i="181"/>
  <c r="L65" i="181" s="1"/>
  <c r="L29" i="107" l="1"/>
  <c r="L54" i="107"/>
  <c r="O23" i="181" l="1"/>
  <c r="Q55" i="31" l="1"/>
  <c r="N23" i="181" l="1"/>
  <c r="C10" i="197" l="1"/>
  <c r="Q26" i="116" l="1"/>
  <c r="Q49" i="116" l="1"/>
  <c r="P20" i="181" s="1"/>
  <c r="Q5" i="181" l="1"/>
  <c r="S5" i="181" s="1"/>
  <c r="P5" i="181"/>
  <c r="P65" i="181" s="1"/>
  <c r="Q6" i="181" l="1"/>
  <c r="S6" i="181" s="1"/>
  <c r="Q65" i="181" l="1"/>
  <c r="S65" i="181" s="1"/>
  <c r="C8" i="197"/>
  <c r="C19" i="197" s="1"/>
  <c r="D6" i="197" l="1"/>
  <c r="D19" i="197"/>
  <c r="D17" i="197"/>
  <c r="D18" i="197"/>
  <c r="D15" i="197"/>
  <c r="O65" i="181"/>
  <c r="M65" i="181"/>
  <c r="N65" i="181"/>
  <c r="D7" i="197" l="1"/>
  <c r="D8" i="197"/>
  <c r="D13" i="197"/>
  <c r="D16" i="197"/>
  <c r="D14" i="197"/>
  <c r="D12" i="197"/>
  <c r="D9" i="197"/>
  <c r="D11" i="197"/>
  <c r="D10" i="197"/>
  <c r="K31" i="212"/>
  <c r="K47" i="212"/>
  <c r="K36" i="28"/>
  <c r="K59" i="28"/>
  <c r="K37" i="40"/>
  <c r="K21" i="40"/>
  <c r="N5" i="181"/>
  <c r="M5" i="181"/>
  <c r="N28" i="83"/>
  <c r="N52" i="83"/>
  <c r="O28" i="83"/>
  <c r="O52" i="83"/>
  <c r="M30" i="17"/>
  <c r="M55" i="17"/>
  <c r="M6" i="181"/>
  <c r="N26" i="31"/>
  <c r="N55" i="31"/>
  <c r="M23" i="181"/>
  <c r="P28" i="83"/>
  <c r="P52" i="83"/>
  <c r="O5" i="181"/>
  <c r="O6" i="181"/>
  <c r="O30" i="17"/>
  <c r="O55" i="17"/>
  <c r="N30" i="17"/>
  <c r="N55" i="17"/>
  <c r="N6" i="181"/>
</calcChain>
</file>

<file path=xl/comments1.xml><?xml version="1.0" encoding="utf-8"?>
<comments xmlns="http://schemas.openxmlformats.org/spreadsheetml/2006/main">
  <authors>
    <author>Budget Departmnet</author>
  </authors>
  <commentList>
    <comment ref="P8" authorId="0" shape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  <comment ref="Q8" authorId="0" shape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  <comment ref="R8" authorId="0" shape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  <comment ref="S8" authorId="0" shape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H5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waxa ku jira shaqaale cusyb oo kala ah
A=9  B=1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waxa ku jira shaqaale cusyb oo kala ah
A=9  B=1</t>
        </r>
      </text>
    </comment>
  </commentList>
</comments>
</file>

<file path=xl/sharedStrings.xml><?xml version="1.0" encoding="utf-8"?>
<sst xmlns="http://schemas.openxmlformats.org/spreadsheetml/2006/main" count="6124" uniqueCount="1502">
  <si>
    <t xml:space="preserve">M/Xige </t>
  </si>
  <si>
    <t xml:space="preserve">Faahfaahin </t>
  </si>
  <si>
    <t>Miis 2001</t>
  </si>
  <si>
    <t xml:space="preserve">Faraqa </t>
  </si>
  <si>
    <t xml:space="preserve"> </t>
  </si>
  <si>
    <t xml:space="preserve">Sub Total </t>
  </si>
  <si>
    <t>Qasriga Madaxtooyadda</t>
  </si>
  <si>
    <t>1a</t>
  </si>
  <si>
    <t>Golaha Guurtida</t>
  </si>
  <si>
    <t>Golaha Wakiiladda</t>
  </si>
  <si>
    <t>Maxkamada Sare</t>
  </si>
  <si>
    <t>Xeerilaalinta Guud</t>
  </si>
  <si>
    <t>Hay'adda Shaqaalaha</t>
  </si>
  <si>
    <t>Hanti-dhawrka Guud</t>
  </si>
  <si>
    <t>8a</t>
  </si>
  <si>
    <t>Guddiga Qandaraaska</t>
  </si>
  <si>
    <t>W.Arrimaha Dibada</t>
  </si>
  <si>
    <t>W.Cadaaladda</t>
  </si>
  <si>
    <t>10a</t>
  </si>
  <si>
    <t>10b</t>
  </si>
  <si>
    <t>Maxkamada Hoose</t>
  </si>
  <si>
    <t>11a</t>
  </si>
  <si>
    <t>13a</t>
  </si>
  <si>
    <t>N.D.C.</t>
  </si>
  <si>
    <t xml:space="preserve">Total </t>
  </si>
  <si>
    <t>M/Xige</t>
  </si>
  <si>
    <t>Faahfaahin</t>
  </si>
  <si>
    <t>Kharashka Shaqaalaha</t>
  </si>
  <si>
    <t>Mushaharka Shaqaalaha joogtada ah</t>
  </si>
  <si>
    <t>Mushaharka Shaqaalaha aan J/ahayn</t>
  </si>
  <si>
    <t>Gunnada Guri &amp; Xil</t>
  </si>
  <si>
    <t>Kharashka Hawsha Socota</t>
  </si>
  <si>
    <t>Kharashka Qalabka Hawsha</t>
  </si>
  <si>
    <t>Habeen Dhaxyada ( Travelling Allowance)</t>
  </si>
  <si>
    <t>Isticmaalka Boosaha &amp; Isgaadhsiinta</t>
  </si>
  <si>
    <t>Isticmaalka Nalka &amp; Biyaha</t>
  </si>
  <si>
    <t xml:space="preserve">Barnaamijyada Hawlaha Shaqada                               </t>
  </si>
  <si>
    <t>Grand Total</t>
  </si>
  <si>
    <t>Miis 200</t>
  </si>
  <si>
    <t xml:space="preserve">Madax </t>
  </si>
  <si>
    <t>Madax</t>
  </si>
  <si>
    <t xml:space="preserve">  </t>
  </si>
  <si>
    <t>Kh.Maamulka</t>
  </si>
  <si>
    <t>Miis 2002</t>
  </si>
  <si>
    <t>Rev 2001</t>
  </si>
  <si>
    <t>Magaca Wasaaradda/ Hay'ada</t>
  </si>
  <si>
    <t>Miis 2003</t>
  </si>
  <si>
    <t>Faraqa</t>
  </si>
  <si>
    <t xml:space="preserve">Martiqaadyada &amp; Munaasibadaha </t>
  </si>
  <si>
    <t>Daryeelka Baabuurta &amp; Mishiinada iwm.</t>
  </si>
  <si>
    <t>Miis. 2003</t>
  </si>
  <si>
    <t>A</t>
  </si>
  <si>
    <t>B</t>
  </si>
  <si>
    <t>C</t>
  </si>
  <si>
    <t>D</t>
  </si>
  <si>
    <t>Miis 2005</t>
  </si>
  <si>
    <t>Faraq</t>
  </si>
  <si>
    <t>Miis.2005</t>
  </si>
  <si>
    <t>Miis .2005</t>
  </si>
  <si>
    <t xml:space="preserve">Isugeyn </t>
  </si>
  <si>
    <t>Ciidanka Qaranka.</t>
  </si>
  <si>
    <t>Faraqa.</t>
  </si>
  <si>
    <t>Miis 2006</t>
  </si>
  <si>
    <t>Miis. 2006</t>
  </si>
  <si>
    <t>Miis.2006</t>
  </si>
  <si>
    <t>Miis. 2005</t>
  </si>
  <si>
    <t>Madax.</t>
  </si>
  <si>
    <t>Faahfaahin.</t>
  </si>
  <si>
    <t>10A</t>
  </si>
  <si>
    <t>1B</t>
  </si>
  <si>
    <t>1A</t>
  </si>
  <si>
    <t>11B</t>
  </si>
  <si>
    <t>Ciidanka Ilaaladda Xeebaha.</t>
  </si>
  <si>
    <t>11b</t>
  </si>
  <si>
    <t>12a</t>
  </si>
  <si>
    <t>Somaliland National T.V.</t>
  </si>
  <si>
    <t>Daaweynta &amp; Caafimaadka.</t>
  </si>
  <si>
    <t>Guddiga Doorshooyinka Qaranka.</t>
  </si>
  <si>
    <t>1b</t>
  </si>
  <si>
    <t>Guddiga Qandaraaska Qaranka.</t>
  </si>
  <si>
    <t>Wasaaradda Maaliyadda.</t>
  </si>
  <si>
    <t>Hay'adda Miino-Saarka Qaranka.</t>
  </si>
  <si>
    <t>Hanti-dhawrka Guud Qaranka.</t>
  </si>
  <si>
    <t>Hay'adda Shaqaalaha Dawladda.</t>
  </si>
  <si>
    <t>M.Xigeenka JSL.</t>
  </si>
  <si>
    <t>Hay'adda N.D.C.</t>
  </si>
  <si>
    <t>W.Boostadda &amp; Isgaadhsiinta.</t>
  </si>
  <si>
    <t>W.Warfaafinta &amp; Wacyigelinta.</t>
  </si>
  <si>
    <t>Golaha Guurtida JSL.</t>
  </si>
  <si>
    <t>Golaha Wakiiladda JSL.</t>
  </si>
  <si>
    <t>Madax-weyne ku-.Xigeenka JSL.</t>
  </si>
  <si>
    <t>Qasriga Madaxtooyaddan JSL.</t>
  </si>
  <si>
    <t>Sub-Total:</t>
  </si>
  <si>
    <t>Kharashka Nabad-gelyadda.</t>
  </si>
  <si>
    <t>Hay'adda NERAD.</t>
  </si>
  <si>
    <t>Grand Total:</t>
  </si>
  <si>
    <t>Total.</t>
  </si>
  <si>
    <t>Wasaaradda Beeraha.</t>
  </si>
  <si>
    <t>Commission-ka La Dagaalanka Aids-ka.</t>
  </si>
  <si>
    <t>W.Arrimaha Gudaha.</t>
  </si>
  <si>
    <t>W.Boosta &amp; Isgaadhsiinta.</t>
  </si>
  <si>
    <t>Miis.2007</t>
  </si>
  <si>
    <t>-</t>
  </si>
  <si>
    <t>Miis. 2007</t>
  </si>
  <si>
    <t>Miis. 2007.</t>
  </si>
  <si>
    <t xml:space="preserve">Total  </t>
  </si>
  <si>
    <t>Gunno.</t>
  </si>
  <si>
    <t>Miis. 2008</t>
  </si>
  <si>
    <t>Daawadda.</t>
  </si>
  <si>
    <t>Miis. 2008.</t>
  </si>
  <si>
    <t>Miis.2007.</t>
  </si>
  <si>
    <t>W.Waxbarashada.</t>
  </si>
  <si>
    <t>Wasaaradda Arrimaha Gudaha.</t>
  </si>
  <si>
    <t>W.Ganacsiga.</t>
  </si>
  <si>
    <t>Gunnada Guri &amp; Xil (L/B/W)</t>
  </si>
  <si>
    <t>Miis. 2009</t>
  </si>
  <si>
    <t>Miis. 2009.</t>
  </si>
  <si>
    <t>Miis.2009.</t>
  </si>
  <si>
    <t>Miis.2009</t>
  </si>
  <si>
    <t>Miis. 2007( A )</t>
  </si>
  <si>
    <t xml:space="preserve">Miis. 2008. </t>
  </si>
  <si>
    <t>W.Arrimaha Dibada.</t>
  </si>
  <si>
    <t>W.Madaxtooyadda.</t>
  </si>
  <si>
    <t>W.Caafimaadka.</t>
  </si>
  <si>
    <t xml:space="preserve">Noolka Safarada Gudaha. </t>
  </si>
  <si>
    <t>Noolka Safaradda Dibadda.</t>
  </si>
  <si>
    <t>Tababarka &amp; Imtixaanadda.</t>
  </si>
  <si>
    <t>Iibsiga Alaabta Xafiisyadda (Stationery).</t>
  </si>
  <si>
    <t>Iibsiga Wargeysyadda &amp; Bugaagta.</t>
  </si>
  <si>
    <t>Dhismayaasha Cusub.</t>
  </si>
  <si>
    <t>Daryeelka &amp; Dib-udhiska Dhismayaasha.</t>
  </si>
  <si>
    <t>Kh. Iibsiga Adeega Qalabka Hawsha.</t>
  </si>
  <si>
    <t>Dharka &amp; Dirayska.</t>
  </si>
  <si>
    <t>Batroolka, Naafatadda &amp; Saliidaha.</t>
  </si>
  <si>
    <t>Daabacaadda Documentiga Lacagta.</t>
  </si>
  <si>
    <t>Ijaarka Gaadiika, Xaf. &amp; Guryaha.</t>
  </si>
  <si>
    <t>Kharashyadda yar yar ee Xafiisyadda</t>
  </si>
  <si>
    <t>Kharashka Joogtaynta Maamulka.</t>
  </si>
  <si>
    <t>Miis. 2010</t>
  </si>
  <si>
    <t>Laanta Socdaalka.</t>
  </si>
  <si>
    <t>Gunno Ciideed.</t>
  </si>
  <si>
    <t>Khidmadda Baanka.</t>
  </si>
  <si>
    <t>Kharashka Gaarka ah.</t>
  </si>
  <si>
    <t>Kh. Bilicda Xafiisyadda &amp; Guryaha.</t>
  </si>
  <si>
    <t>Kharashka Qalabka Raaga ee Hawsha.</t>
  </si>
  <si>
    <t>Hantidda Raagta.</t>
  </si>
  <si>
    <t>Qalabka Xafiisyadda &amp; Guryaha.</t>
  </si>
  <si>
    <t>Gaadiidka &amp; Mishiinadda.</t>
  </si>
  <si>
    <t>Qalabka Nalka &amp; Biyaha.</t>
  </si>
  <si>
    <t>Qalabaka Boosaha &amp; Isgaadhsiinta.</t>
  </si>
  <si>
    <t>Daryeelka Qal. Gaadiidka, Mish. Iwm.</t>
  </si>
  <si>
    <t>Miis. 2010.</t>
  </si>
  <si>
    <t>Daryeelka Qal. Xafiisyadda &amp; Guryaha.</t>
  </si>
  <si>
    <t>Miis.2010.</t>
  </si>
  <si>
    <t>Isticmaalka Nalka &amp; Biyaha.</t>
  </si>
  <si>
    <t>Kharashyadda yar yar ee Xafiisyadda.</t>
  </si>
  <si>
    <t xml:space="preserve">Martiqaadyada &amp; Munaasibadaha. </t>
  </si>
  <si>
    <t>Isticmaalka Boosaha &amp; Isgaadhsiinta.</t>
  </si>
  <si>
    <t>noolka safarada dibada.</t>
  </si>
  <si>
    <t>Habeen Dhaxyada ( Travelling Allowance).</t>
  </si>
  <si>
    <t>Kharashka Hawlaha shaqada.</t>
  </si>
  <si>
    <t>Ijaarka Guryaha &amp; Xafiisyadda.</t>
  </si>
  <si>
    <t>KH. Bilicda Xafiisyadda &amp; Guryaha.</t>
  </si>
  <si>
    <t>Kh. Dhiiri-gelinta &amp; Abaalmarinta.</t>
  </si>
  <si>
    <t>Kh. Hawlaha Miino Saarka.</t>
  </si>
  <si>
    <t>Kh. Isticmaalka Nalka &amp; Biyaha.</t>
  </si>
  <si>
    <t xml:space="preserve">Noolka Safarada Gudaha </t>
  </si>
  <si>
    <t>Noolk Safaradda Dibadda</t>
  </si>
  <si>
    <t xml:space="preserve">Tobobarka iyo Imitixaanadda </t>
  </si>
  <si>
    <t>Marti-qaadka iyo munaasibadaha</t>
  </si>
  <si>
    <t>Kharashka Nabad Galyada</t>
  </si>
  <si>
    <t xml:space="preserve">Dharka iyo Dirayska </t>
  </si>
  <si>
    <t>Baatroolka Naafatada iyo saliida</t>
  </si>
  <si>
    <t>Qalabka Alaabta Xafiiska(office stationery)</t>
  </si>
  <si>
    <t>Buugaagta,Wargeysyada iyo Daabacaadda</t>
  </si>
  <si>
    <t>Kharashka Qalabka Raaga ee Howsha</t>
  </si>
  <si>
    <t>Qalabka Xafiiska iyo Guryaha</t>
  </si>
  <si>
    <t>Daryeelka iyo Dib u-dhiska Dhismayasha</t>
  </si>
  <si>
    <t>Daryeelka Qalabka Xafiisyada iyo Guryaha</t>
  </si>
  <si>
    <t>Grant  Total</t>
  </si>
  <si>
    <t>Liiltirka.</t>
  </si>
  <si>
    <t>Ijaarka Guryaha, Xafiisyadda &amp; Gaadiidka.</t>
  </si>
  <si>
    <t>Daryeelka Qalabka Gaadiidka, Mishiinadda I.W.M</t>
  </si>
  <si>
    <t>Qalabka Nalka Iyo Biyaha.</t>
  </si>
  <si>
    <t>Kharashka yar yar ee Xafiisyada</t>
  </si>
  <si>
    <t>10D</t>
  </si>
  <si>
    <t>10C</t>
  </si>
  <si>
    <t>Barnaamijyadda Hawlaha Shaqo.</t>
  </si>
  <si>
    <t>Daawaynta &amp; Caafimaadka.</t>
  </si>
  <si>
    <t>Ciidanka Illaaladda Madaxtooyadda.</t>
  </si>
  <si>
    <t>11A</t>
  </si>
  <si>
    <t>12A</t>
  </si>
  <si>
    <t>10B</t>
  </si>
  <si>
    <t>11C</t>
  </si>
  <si>
    <t>Guddiga Xaquuqal Insaanka Qaranka.</t>
  </si>
  <si>
    <t>Guddiga Dib u habaynta Shuruucda.</t>
  </si>
  <si>
    <t>Guddiga Baadhista Xasuuqii.</t>
  </si>
  <si>
    <t>Ciidanka Booliska.</t>
  </si>
  <si>
    <t>W.Diinta &amp; Awaafta.</t>
  </si>
  <si>
    <t>W.Gaashandhiga.</t>
  </si>
  <si>
    <t>Maxkamada Hoose.</t>
  </si>
  <si>
    <t>Ciidanka Asluubta.</t>
  </si>
  <si>
    <t>Maxkamada Sare.</t>
  </si>
  <si>
    <t>Guddiga La Dagaalanka Aides-ka.</t>
  </si>
  <si>
    <t>Guddiga Xaquuqal Insaanka.</t>
  </si>
  <si>
    <t>Liiltirka</t>
  </si>
  <si>
    <t>10c.</t>
  </si>
  <si>
    <t>10d.</t>
  </si>
  <si>
    <t>11c.</t>
  </si>
  <si>
    <t>Faraq.</t>
  </si>
  <si>
    <t>2.1.1.1.</t>
  </si>
  <si>
    <t>2.0.0.0.</t>
  </si>
  <si>
    <t>2.1.0.0.</t>
  </si>
  <si>
    <t>Kharashka Shaqaalaha.</t>
  </si>
  <si>
    <t>2.1.1.2.</t>
  </si>
  <si>
    <t>2.1.1.3.</t>
  </si>
  <si>
    <t>2.1.1.5.</t>
  </si>
  <si>
    <t>2.1.2.0.</t>
  </si>
  <si>
    <t>Kharashka Adeega Shaqaalaha.</t>
  </si>
  <si>
    <t>2.1.2.1.</t>
  </si>
  <si>
    <t>2.1.2.3.</t>
  </si>
  <si>
    <t>2.1.2.2.</t>
  </si>
  <si>
    <t>Hawl-gab</t>
  </si>
  <si>
    <t>Caymiska shaqaalaha.</t>
  </si>
  <si>
    <t>2.2.0.0.</t>
  </si>
  <si>
    <t>Isticmaalka Alaabta iyo Adeega Hawsha.</t>
  </si>
  <si>
    <t>Kharashka Isticmaalka Adeega Hawsha.</t>
  </si>
  <si>
    <t>2.2.1.0.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</si>
  <si>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</si>
  <si>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</si>
  <si>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</si>
  <si>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</si>
  <si>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</si>
  <si>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</si>
  <si>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</si>
  <si>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</si>
  <si>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2.2.1.9.</t>
  </si>
  <si>
    <t>2.2.1.12.</t>
  </si>
  <si>
    <t>2.2.1.34.</t>
  </si>
  <si>
    <t>2.2.1.32.</t>
  </si>
  <si>
    <t>Kharashka Isticmaalka Alaabta Hawsha.</t>
  </si>
  <si>
    <t>2.2.2.0.</t>
  </si>
  <si>
    <t>2.2.2.1.</t>
  </si>
  <si>
    <t>2.2.2.2.</t>
  </si>
  <si>
    <t>2.2.2.3.</t>
  </si>
  <si>
    <t>2.2.2.4.</t>
  </si>
  <si>
    <t>2.2.2.5.</t>
  </si>
  <si>
    <t>2.2.3.0.</t>
  </si>
  <si>
    <t>2.2.3.1.</t>
  </si>
  <si>
    <t>Daryeelka Xafiisyadda &amp; Guryaha.</t>
  </si>
  <si>
    <t>2.2.3.2.</t>
  </si>
  <si>
    <t>Daryeelka Hantidda kale ee Dawladda.</t>
  </si>
  <si>
    <t>Iibsiga Alaabta.</t>
  </si>
  <si>
    <t>Iibsiga Hantidda Raagta.</t>
  </si>
  <si>
    <t>2.3.0.0.</t>
  </si>
  <si>
    <t>2.3.1.0.</t>
  </si>
  <si>
    <t>2.3.1.3.</t>
  </si>
  <si>
    <t>Miis. 2011.</t>
  </si>
  <si>
    <t>2.2.2.9.</t>
  </si>
  <si>
    <t>Miis. 2011</t>
  </si>
  <si>
    <t>Mis. 2011</t>
  </si>
  <si>
    <t>Dhismayaasha Cusub</t>
  </si>
  <si>
    <t>Kharashka Markhaatiyaasha &amp; Dambi-baadhista</t>
  </si>
  <si>
    <t>Kharashka Qareenka Saboolka</t>
  </si>
  <si>
    <t>Qalabka Xafiisyada &amp; Guryaha</t>
  </si>
  <si>
    <t>Gaadiidka &amp; Mishiinada</t>
  </si>
  <si>
    <t>Mis. 2010</t>
  </si>
  <si>
    <t>Kharashka Lama filaanka ah &amp; Gurmadka</t>
  </si>
  <si>
    <t>Raashinka &amp; Wixii Raaca</t>
  </si>
  <si>
    <t>Daawada</t>
  </si>
  <si>
    <t>Gogosha &amp; Maacuunka</t>
  </si>
  <si>
    <t>Kh. Faaf reebka iyo Fidinta Diinta.</t>
  </si>
  <si>
    <t>Kharashka dhiiri-gelinta &amp; Abaalmarinta.</t>
  </si>
  <si>
    <t>Daryeelka Wadooyinka &amp; Biriijyadda.</t>
  </si>
  <si>
    <t>Miis.2011.</t>
  </si>
  <si>
    <t>Kh. Daryeelka Ugaadha &amp; Duurjoonta.</t>
  </si>
  <si>
    <t>miis. 2011.</t>
  </si>
  <si>
    <t>kharashka garsoorka</t>
  </si>
  <si>
    <t>kharshka qareenka saboolka</t>
  </si>
  <si>
    <t>Raashinka &amp; wixii raaca.</t>
  </si>
  <si>
    <t>2.3.2.0</t>
  </si>
  <si>
    <t>Kharashka Gaarka aha.</t>
  </si>
  <si>
    <t xml:space="preserve">kharashka abaalmarinta iyo dhiirigalinta </t>
  </si>
  <si>
    <t>2.2.1.30.</t>
  </si>
  <si>
    <t>Kh. Lama filaanka iyo Gurmadka.</t>
  </si>
  <si>
    <t>Iibsiga Gogosha iyo Maacuunka.</t>
  </si>
  <si>
    <t>Qalabka Xafiisyada &amp; Guryaha.</t>
  </si>
  <si>
    <t>Gaadiidka &amp; Mishiinada.</t>
  </si>
  <si>
    <t>Kh. Bilicda Xafiisyadda.</t>
  </si>
  <si>
    <t>Daawaynta &amp; Caafimaaka.</t>
  </si>
  <si>
    <t>Kabka Miisaaniyadda (Q. Raashinka).</t>
  </si>
  <si>
    <t>Miis.2010</t>
  </si>
  <si>
    <t>Kharashka Safaaradaha &amp; Qunsuliyadaha</t>
  </si>
  <si>
    <t>Dhiiri-galinta &amp; Abaalmarinta</t>
  </si>
  <si>
    <t>Miis.2011</t>
  </si>
  <si>
    <t>Noolka &amp;Sahaysiinta Maxaabiista</t>
  </si>
  <si>
    <t>Kabka Miisaaniyadda (Qiimaha Raashinka )</t>
  </si>
  <si>
    <t>Miis 2010</t>
  </si>
  <si>
    <t>Miis 2011</t>
  </si>
  <si>
    <t xml:space="preserve">Kh.Qareenka Saboolka </t>
  </si>
  <si>
    <t>Kh.Garsoorayaasha Ciidan/Dadweyne</t>
  </si>
  <si>
    <t>Kh.Fidinta Maamulka</t>
  </si>
  <si>
    <t>Kabka Miisaniyadda(Qiimaha Raashin )</t>
  </si>
  <si>
    <t xml:space="preserve">Kh.Noolka iyo Sahaysiinta Maxaabiista </t>
  </si>
  <si>
    <t>Mushaharka Shaqaalaha  joogtada ah</t>
  </si>
  <si>
    <t>Lacag celinta Sannadihii hore.</t>
  </si>
  <si>
    <t>Daabacaadda Documents-ka Lacagta.</t>
  </si>
  <si>
    <t>Lambaradda Gaadiidka ee dib u sii iibinta.</t>
  </si>
  <si>
    <t xml:space="preserve">Soo saarista Daarasadka &amp; Tij. Tamarka Warsh. </t>
  </si>
  <si>
    <t>2.3.1.2</t>
  </si>
  <si>
    <t>2.3.1.1</t>
  </si>
  <si>
    <t>Daryeelka Ceelasha.</t>
  </si>
  <si>
    <t>Kaalmooyinka Guud.</t>
  </si>
  <si>
    <t>Kharashka Dakhli Ururinta.</t>
  </si>
  <si>
    <t>Kh. Bilicda Xafiisyada &amp; Guryaha.</t>
  </si>
  <si>
    <t>Mushahar.</t>
  </si>
  <si>
    <t>ICT. Commission.</t>
  </si>
  <si>
    <t>Grand Total.</t>
  </si>
  <si>
    <t>W. Shaqadda &amp; Arrimaha Bulshadda.</t>
  </si>
  <si>
    <t>Madaxtooyadda.</t>
  </si>
  <si>
    <t>W/Ganacsiga, Wershadaha &amp; Dalxiiska.</t>
  </si>
  <si>
    <t>W.Macdanta, Biyaha &amp; Tamarta.</t>
  </si>
  <si>
    <t>W/X/Xoolaha H/Reer Miyiga &amp; Deegaanka.</t>
  </si>
  <si>
    <t>W/Ciyaaraha, Dhalinyaradda &amp; Dhaqanka.</t>
  </si>
  <si>
    <t>W/Kalluumaysiga Kh/Badda &amp; M/Dekeddaha.</t>
  </si>
  <si>
    <t>W.Qorshaynta Qaranka &amp; Horumarinta.</t>
  </si>
  <si>
    <t>W.Hawlaha Guud &amp; Gaadiidka.</t>
  </si>
  <si>
    <t>W.Waxbarashada &amp; Tacliinta Sare.</t>
  </si>
  <si>
    <t xml:space="preserve">Wasaaradda Caafimaadka. </t>
  </si>
  <si>
    <t>Wasaaradda Cadaaladda &amp; Garsoorka.</t>
  </si>
  <si>
    <t xml:space="preserve"> Commission-ka Qurba Jooga.</t>
  </si>
  <si>
    <t xml:space="preserve">Wasaaradda Duulista &amp; Hawadda. </t>
  </si>
  <si>
    <t>`</t>
  </si>
  <si>
    <t>Iibsiga Qalabka Nalka &amp; Biyaha.</t>
  </si>
  <si>
    <t>Iibsiga Qalabka Boosaha &amp; Isgaadhsiinta.</t>
  </si>
  <si>
    <t>Iibsiga Qasnaddaha Lacagta.</t>
  </si>
  <si>
    <t>Iibsiga gogosha &amp; Maacuunka.</t>
  </si>
  <si>
    <t>Noolka Safarada Gudaha</t>
  </si>
  <si>
    <t>Raashinka Cisbitaalada</t>
  </si>
  <si>
    <t>Daryeelka Cisbitaalada Lababka $ MCHyada</t>
  </si>
  <si>
    <t>2.6.3.1.</t>
  </si>
  <si>
    <t>Ijaarka Gaadiidka Xafiisyada &amp; Guryaha</t>
  </si>
  <si>
    <t>Martiqaadyada &amp; Munaasabadaha</t>
  </si>
  <si>
    <t xml:space="preserve">Dharka &amp; Dirayska </t>
  </si>
  <si>
    <t>Ijaarka Xafiisyadda &amp; Gaadiidka.</t>
  </si>
  <si>
    <t>Daryeelka Gaadiidka &amp; Miishanada</t>
  </si>
  <si>
    <t>2.3.2.1</t>
  </si>
  <si>
    <t>Gunnada Guri &amp; Xil.</t>
  </si>
  <si>
    <t>Noolka Safarad Debadda</t>
  </si>
  <si>
    <t>Iibsiga Daawadda.</t>
  </si>
  <si>
    <t>Noolka Safaradda Gudaha.</t>
  </si>
  <si>
    <t>Ijaarka B/buurta &amp; Xafiisyadda &amp; Guryaha.</t>
  </si>
  <si>
    <t>11D</t>
  </si>
  <si>
    <t>Kh. Sahaysiinta Maxaabiista.</t>
  </si>
  <si>
    <t>Dharka iyo Dirayska.</t>
  </si>
  <si>
    <t>Noolka Safaradda Gudaha</t>
  </si>
  <si>
    <t>Kharashka Nabadgalyada</t>
  </si>
  <si>
    <t>Kharashka Baadhista Khayraatka Dalka.</t>
  </si>
  <si>
    <t>Raashinka &amp; Wixii Raaca.</t>
  </si>
  <si>
    <t>Kharashka Bilicda Xafiisyadda.</t>
  </si>
  <si>
    <t>2.1.0.0</t>
  </si>
  <si>
    <t>2.2.1.0</t>
  </si>
  <si>
    <t>2.2.2.0</t>
  </si>
  <si>
    <t>Kh.joogtaynta maamulka</t>
  </si>
  <si>
    <t>Kh.isticmaalka adeega hawsha</t>
  </si>
  <si>
    <t>iibsiga Hantidda Raagta.</t>
  </si>
  <si>
    <t>2.3.1.0</t>
  </si>
  <si>
    <t>Iibsiga Alaabta Raagta</t>
  </si>
  <si>
    <t>2.2.3.0</t>
  </si>
  <si>
    <t>Hawl-gab.</t>
  </si>
  <si>
    <t>Mushaharka Shaqaalaha aan J/ahayn.</t>
  </si>
  <si>
    <t>Mushaharka Shaqaalaha joogtada ah.</t>
  </si>
  <si>
    <t>martiqaadka &amp; Munaasibadaha,</t>
  </si>
  <si>
    <t>Dhiiri-gelinta &amp; Abaalmarinta.</t>
  </si>
  <si>
    <t>Dirayska.</t>
  </si>
  <si>
    <t xml:space="preserve">Kharashka Maamulka. </t>
  </si>
  <si>
    <t>Barnaamijyadda H/Shaqo.</t>
  </si>
  <si>
    <t>2.2.1.18.</t>
  </si>
  <si>
    <t>Hawsha Miino Saarka (SMAC).</t>
  </si>
  <si>
    <t>Iibsiga Gaadiidka &amp; Mishiinadda.</t>
  </si>
  <si>
    <t>Xafiisyadda &amp; Guryaha kale ee Dawladda.</t>
  </si>
  <si>
    <t>Noolka Safarada Gudaha iyo bedelka</t>
  </si>
  <si>
    <t xml:space="preserve">Iibsiga gaadiidka </t>
  </si>
  <si>
    <t xml:space="preserve">Dhismayaasha Cusub </t>
  </si>
  <si>
    <t>Isticmaalka Alaabta &amp; Adeega Hawsha</t>
  </si>
  <si>
    <t>Kharashka Isticmaalka Adeega hawsh</t>
  </si>
  <si>
    <t>Iibsiga Hantida Raagta</t>
  </si>
  <si>
    <t xml:space="preserve">Iibsiga Alaabta </t>
  </si>
  <si>
    <t>Tababarka &amp; Imtixaanaadka</t>
  </si>
  <si>
    <t xml:space="preserve"> Quality Control Commission.</t>
  </si>
  <si>
    <t>Xafiiska Xidhiidhka Golayaasha ee Madax.</t>
  </si>
  <si>
    <t>Kharashka Gaarka ah</t>
  </si>
  <si>
    <t>Kh. Markhaatiyaasha &amp; Dambibaadhista.</t>
  </si>
  <si>
    <t>Gunno Gaareed (Gunnadda Jiidda Hore).</t>
  </si>
  <si>
    <t>Mushaharka Golaha Wakiiladda.</t>
  </si>
  <si>
    <t>Kh. Bilicda Xafiisyadda &amp; guryaha.</t>
  </si>
  <si>
    <t>Mushaharka Golaha Guurtidda.</t>
  </si>
  <si>
    <t>W.Xanaanadda Xoolaha H/reer Miyiga.</t>
  </si>
  <si>
    <t>X.Siyaasadda ee Xidhiidhka Golayaasha.</t>
  </si>
  <si>
    <t>W.Shaqadda &amp; Arrimaha Bulshadda.</t>
  </si>
  <si>
    <t>WFP. Commission.</t>
  </si>
  <si>
    <t>Commssion-ka Qurba jooga.</t>
  </si>
  <si>
    <t>Quality Control Commission.</t>
  </si>
  <si>
    <t>Good Gov. and Anti Corruption Comm.</t>
  </si>
  <si>
    <t>Mushaharka Ciimaddda.</t>
  </si>
  <si>
    <t>Mushaharka Ciimadda.</t>
  </si>
  <si>
    <t>2.3.1.11</t>
  </si>
  <si>
    <t>Khasnada Lacagta IWM</t>
  </si>
  <si>
    <t>Ijaarka Bakhaaradda Sooy. Ee Komishanka.</t>
  </si>
  <si>
    <t>W.DH.Ciyaaraha &amp; Dhaqanka.</t>
  </si>
  <si>
    <t>Miino-Saarka.</t>
  </si>
  <si>
    <t xml:space="preserve">W.Duulista. </t>
  </si>
  <si>
    <t>W.Hawlaha Guud.</t>
  </si>
  <si>
    <t>Beeraha.</t>
  </si>
  <si>
    <t>Kaluumaysiga.</t>
  </si>
  <si>
    <t xml:space="preserve">W.Macdanta &amp; Biyaha. </t>
  </si>
  <si>
    <t xml:space="preserve">W.Gaashandhiga. </t>
  </si>
  <si>
    <t>Wasaaradda Warfaafinta</t>
  </si>
  <si>
    <t>Liiltirka (Filfil).</t>
  </si>
  <si>
    <t>Liiltir (Khadra Xasan Ducaale).</t>
  </si>
  <si>
    <t>Daryeelka Kale ee Hantidda Dawladda.</t>
  </si>
  <si>
    <t>N.B. Waxa ku jira 1142 Cuqaal iyo Salaadiin oo Grade D ah &amp; 121 Grade A Maxk. Sare.</t>
  </si>
  <si>
    <t>Kaalmooyinka Guud ee Sooyaal.</t>
  </si>
  <si>
    <t>Xeer Illaalinta Guud Qaranka.</t>
  </si>
  <si>
    <t xml:space="preserve">Ciidanka Qaranka. </t>
  </si>
  <si>
    <t>2.6.3.0</t>
  </si>
  <si>
    <t>Kaalmooyinka Qeybaha kale ee dawladda</t>
  </si>
  <si>
    <t>Kh. Isticmaalka Alaabta Hawsha.</t>
  </si>
  <si>
    <t xml:space="preserve">Daryeelka Xaf. Guryaha. </t>
  </si>
  <si>
    <t xml:space="preserve"> Iibsiga gaadiidka iyo mashiinada </t>
  </si>
  <si>
    <t>2.2.1.41.</t>
  </si>
  <si>
    <t>Biilasha Taagan.</t>
  </si>
  <si>
    <t>Grand-Total</t>
  </si>
  <si>
    <t>Iibsiga Daawadda Xoolaha.</t>
  </si>
  <si>
    <t>Raashinka &amp; Wixii Raaca (Agoomaha).</t>
  </si>
  <si>
    <t xml:space="preserve"> Good Governace and Anti-Corruption Com.</t>
  </si>
  <si>
    <t>Kh.Gaarka ah (Specail President Invoy) &amp; Xuuraanka.</t>
  </si>
  <si>
    <t>Raashinka Ciidanka iyo wixii Raaca.</t>
  </si>
  <si>
    <t>Hay'adda Xidhiidhka Caawimadda FWP.</t>
  </si>
  <si>
    <t>miis.2012</t>
  </si>
  <si>
    <t>Miis.2012</t>
  </si>
  <si>
    <t>miis. 2012</t>
  </si>
  <si>
    <t>Miis. 2012</t>
  </si>
  <si>
    <t>Miis 2012</t>
  </si>
  <si>
    <t>miis 2012</t>
  </si>
  <si>
    <t>2.1.1.2a</t>
  </si>
  <si>
    <t>Raashinka</t>
  </si>
  <si>
    <t xml:space="preserve">Raashinka </t>
  </si>
  <si>
    <t>20B</t>
  </si>
  <si>
    <t xml:space="preserve">W/Deegaanka iyo Reermiyiga </t>
  </si>
  <si>
    <t xml:space="preserve">W/dib u dajinta </t>
  </si>
  <si>
    <t>Miis. 2012.</t>
  </si>
  <si>
    <t>Kharashka Garsoorayaasha</t>
  </si>
  <si>
    <t>miis. 2011</t>
  </si>
  <si>
    <t>Wasaarada Xanaanada Xoolaha</t>
  </si>
  <si>
    <t>Garyaqaanka Guud ee Qaranka</t>
  </si>
  <si>
    <t>Gunno Xagaayeed</t>
  </si>
  <si>
    <t>Gunno Maaliyadeed</t>
  </si>
  <si>
    <t>Ijaarka Guryaha (Guryaha Masaarida)</t>
  </si>
  <si>
    <t>Gunno Lataliye</t>
  </si>
  <si>
    <t>Gunno kaaliyayaasha maxk. Hoose</t>
  </si>
  <si>
    <t xml:space="preserve">Mag dhowga </t>
  </si>
  <si>
    <t>fee jaamacada</t>
  </si>
  <si>
    <t>Hay'adda sir. Qaranka</t>
  </si>
  <si>
    <t>Ijaarka guryaha, baabuurta &amp; guryaha</t>
  </si>
  <si>
    <t>Gunno lataliyayaal</t>
  </si>
  <si>
    <t>Gunno lataliye</t>
  </si>
  <si>
    <t>Gunno Xil &amp; Guri</t>
  </si>
  <si>
    <t xml:space="preserve">Kh. Kalaxadaynta Gobolada iyo Degmooyinka </t>
  </si>
  <si>
    <t xml:space="preserve">Dhismayaasha </t>
  </si>
  <si>
    <t>.</t>
  </si>
  <si>
    <t>22A</t>
  </si>
  <si>
    <t>Qalabka Xafiiska</t>
  </si>
  <si>
    <t>Agaasinka Tacliinta sare</t>
  </si>
  <si>
    <t>Gaadiidka iyo Mashiinada</t>
  </si>
  <si>
    <t>Gunno Gareed(lataliyayaal)</t>
  </si>
  <si>
    <t>Amount</t>
  </si>
  <si>
    <t>Daaweynta &amp; Caafimaadka Shaqaalaha Dowlada</t>
  </si>
  <si>
    <t xml:space="preserve">Liiltirka </t>
  </si>
  <si>
    <t xml:space="preserve">Iibsiga Hantida Raagta &amp; Alaabta </t>
  </si>
  <si>
    <t xml:space="preserve">Qalabka Xafiisyada </t>
  </si>
  <si>
    <t xml:space="preserve">   </t>
  </si>
  <si>
    <t>````````````````````````````````````````````````````````````````````````````````````````````````````````````````````````````````````````````````````````````````````````````````````````````````````````````````````````````````````````````````````</t>
  </si>
  <si>
    <t>Ijaarka Xafiisyada</t>
  </si>
  <si>
    <t>Mushaharka Ciidamadda  joogtada ah</t>
  </si>
  <si>
    <t>Raashinka ilaalada Warshada sibidhka</t>
  </si>
  <si>
    <t>Kh. Mushaharka &amp; Tigidhada Dhakhatiirta Ajaanibka</t>
  </si>
  <si>
    <t>Garyaqaanka Guud</t>
  </si>
  <si>
    <t>Noolka Safarada Dibeda</t>
  </si>
  <si>
    <t>Noolka Safaradda Dibadda( Wasaaradaha)</t>
  </si>
  <si>
    <t>Hard-Allowance Sool</t>
  </si>
  <si>
    <t>Ijaarka Xafiisyadda(Sool),</t>
  </si>
  <si>
    <t>Mushaharka Shaqaalaha aan J/ahayn( 2+3gudi).</t>
  </si>
  <si>
    <t>8B</t>
  </si>
  <si>
    <t>8A</t>
  </si>
  <si>
    <t>13A</t>
  </si>
  <si>
    <t>Mushaharka Shaqaalaha joogtada ah+30Dr</t>
  </si>
  <si>
    <t xml:space="preserve">Gunnada ilaalada madaxtooyadda </t>
  </si>
  <si>
    <t xml:space="preserve">Iibsiga Barnaamijyadda Idaacada </t>
  </si>
  <si>
    <t>Ijaarka Gaadiidka,Xafiisyada.</t>
  </si>
  <si>
    <t xml:space="preserve">Gaadiidka &amp; Mishiinada </t>
  </si>
  <si>
    <t>Mashruuca Daawaynta Xoolaha</t>
  </si>
  <si>
    <t>Dhismayaasha</t>
  </si>
  <si>
    <t xml:space="preserve">Dhismaha xafiisyada wasaarada </t>
  </si>
  <si>
    <t xml:space="preserve">Mashruuca Waxsoosaarka iyo tarminta dhirta </t>
  </si>
  <si>
    <t>Daabacaadda Tigidhada</t>
  </si>
  <si>
    <t xml:space="preserve">Daabacaada Fiisooyinka </t>
  </si>
  <si>
    <t>Cilmi Baadhista (Macro Economic Research)</t>
  </si>
  <si>
    <t>Dhismaha Guriga Madaxwayne ku xigeenka</t>
  </si>
  <si>
    <t>Biilasha Taagan</t>
  </si>
  <si>
    <t xml:space="preserve">Sanduuqa Aqoonsi Raadinta </t>
  </si>
  <si>
    <t>miis.2011</t>
  </si>
  <si>
    <t>Mushaharka Shaqaalaha aan J/ahayn.(Gudida)</t>
  </si>
  <si>
    <t>Noolka Safarada Gudaha &amp; Badalka shaqalaha</t>
  </si>
  <si>
    <t xml:space="preserve">Ijaarka Baabuurta Xafiisyada </t>
  </si>
  <si>
    <t>Kharashka Nabedgelyada</t>
  </si>
  <si>
    <t>Kharashka Bilicda Xafiisyada</t>
  </si>
  <si>
    <t>Raashinka Ciidanka</t>
  </si>
  <si>
    <t>Iibsiga Gogosha &amp; Maacuunta</t>
  </si>
  <si>
    <t>D. Qalabka Boosaha &amp; Isgaadhsiinta</t>
  </si>
  <si>
    <t>Iibsiga Qalabka Boosaha &amp; Isgaadhsiinta</t>
  </si>
  <si>
    <t xml:space="preserve">Gudiga Diwaangalinta Ururad </t>
  </si>
  <si>
    <t>Shidaalka iyo Stationeryga Qaybaha C/booliiska</t>
  </si>
  <si>
    <t>Gunno (kaaliyayaal)</t>
  </si>
  <si>
    <t>Gunno kaaliyayaal</t>
  </si>
  <si>
    <t>Gunno hawleed</t>
  </si>
  <si>
    <t>Gunno Hawleed</t>
  </si>
  <si>
    <t>Kh. Habeynta Darajoojinka Shaqalaha(Data Base)</t>
  </si>
  <si>
    <t>Mushaharka Shaqaalaha Madaxweyne ku Xigeen</t>
  </si>
  <si>
    <t>2.4.0.0</t>
  </si>
  <si>
    <t>Dhisme</t>
  </si>
  <si>
    <t>2.4.1.0</t>
  </si>
  <si>
    <t>Dhisme Guri</t>
  </si>
  <si>
    <t>Gudiga Tacliinta Sare</t>
  </si>
  <si>
    <t>Gudiga Diiwaangelinta Ururada</t>
  </si>
  <si>
    <t xml:space="preserve">Kaalmooyinka Guud </t>
  </si>
  <si>
    <t>Batroolka, Naafatadda &amp; Saliidaha.+ (lash)</t>
  </si>
  <si>
    <t>Batroolka, Naafatadda &amp; Saliidaha</t>
  </si>
  <si>
    <t>Kharashka Isticmaalka Adeega Hawsha</t>
  </si>
  <si>
    <t>Kharashka Isticmaalka Alaabta Hawsha</t>
  </si>
  <si>
    <t>Daryeelka iyo Dib-u Dhiska Dhismayaasha</t>
  </si>
  <si>
    <t>Kalmooyinka Qaybaha Kale ee Dawladda</t>
  </si>
  <si>
    <t>FaahFaahin</t>
  </si>
  <si>
    <t>Sannadka 2012</t>
  </si>
  <si>
    <t>Total</t>
  </si>
  <si>
    <t>Percentage</t>
  </si>
  <si>
    <t>Dhiirigelinta Shaqaalaha</t>
  </si>
  <si>
    <t>Kharashka Nabadgelyada</t>
  </si>
  <si>
    <t>2.2.1.32a</t>
  </si>
  <si>
    <t>Kharashka Xafiiska Samafalka Madaxtooyada</t>
  </si>
  <si>
    <t>2.10.1.0</t>
  </si>
  <si>
    <t>Deynta Qaranka</t>
  </si>
  <si>
    <t>Mushaharka Shaqaalaha aan J/ahayn(wasiro</t>
  </si>
  <si>
    <t>Mushaharka Shaqaalaha aan J/ahayn(wasiro)</t>
  </si>
  <si>
    <t>Mushaharka Shaqaalaha aan J/ahayn(wasiiro)</t>
  </si>
  <si>
    <t>Mushaharka Shaqaalaha aan J/ahayn(wasiiro</t>
  </si>
  <si>
    <t>Mushaharka Sh/ aan J/ahayn (wasiiro)</t>
  </si>
  <si>
    <t>Mushaharka Sh/ aan J/ahayn(wasiiro)</t>
  </si>
  <si>
    <t>Kaalmadda Ururka Now</t>
  </si>
  <si>
    <t>Biilasha taagan</t>
  </si>
  <si>
    <t>Raashinka (Caruurta darbi jiifka ah)</t>
  </si>
  <si>
    <t>Gunno latalilye</t>
  </si>
  <si>
    <t>Mushaharka Shaq. aan J/ahayn (Wasiir&amp;Cuqaal).</t>
  </si>
  <si>
    <t>Kh. Gobolada (Badhasaabada)</t>
  </si>
  <si>
    <t>Dhismaha Madaarka Burco</t>
  </si>
  <si>
    <t xml:space="preserve">Gunnada Guri &amp; Xil </t>
  </si>
  <si>
    <t>Gunnada hanti-dhowrida + lataliye</t>
  </si>
  <si>
    <t xml:space="preserve">Kh.Gaarka ah(Sirdoonka) </t>
  </si>
  <si>
    <t>Tababarka</t>
  </si>
  <si>
    <t>kh. Tababarada &amp; Imtaxaanada</t>
  </si>
  <si>
    <t xml:space="preserve">Tababarka ciidanka </t>
  </si>
  <si>
    <t xml:space="preserve">Daawada Caafimaadka </t>
  </si>
  <si>
    <t>Ijaarka xafiisyadda iyo Guryaha</t>
  </si>
  <si>
    <t>Betroolka Naaftada iyo saliida (Berbera)</t>
  </si>
  <si>
    <t>Kharashka warbaahinta &amp; Tababarada uruurada</t>
  </si>
  <si>
    <t>kh. Imtixaanadda.</t>
  </si>
  <si>
    <t>Geb secondary Boodhin school(Awdal)</t>
  </si>
  <si>
    <t>Iibsiga Qalabka Xafiisyada iyo Guryaha</t>
  </si>
  <si>
    <t>Ijaarka Guryaha</t>
  </si>
  <si>
    <t>Gunnada Guri &amp; Xil(Agaasinka Guud)</t>
  </si>
  <si>
    <t>Raashinka &amp; Wixii Raaca.( agoomaaha)</t>
  </si>
  <si>
    <t>Gaadiidka &amp; Mashiinada</t>
  </si>
  <si>
    <t>22B</t>
  </si>
  <si>
    <t>Agaasinka Tacliinta Sare</t>
  </si>
  <si>
    <t>Mushaharka Shaqaalaha aan J/ahayn(Gudi7)</t>
  </si>
  <si>
    <t>Gunnada Imaamada</t>
  </si>
  <si>
    <t xml:space="preserve">Kh. Hawgalka ciyaaraha </t>
  </si>
  <si>
    <t>Mushaharka Sh/ aan J/ahayn +wasiiro)</t>
  </si>
  <si>
    <t>Dhiirigalinta shaqaalaha</t>
  </si>
  <si>
    <t xml:space="preserve">kh.wacyigalinta </t>
  </si>
  <si>
    <t xml:space="preserve">8 Madaxtooyada </t>
  </si>
  <si>
    <t xml:space="preserve">Raashinka Ciidanka iyo Maxaabiista </t>
  </si>
  <si>
    <t xml:space="preserve">Mushaharka Sh/joogtada aan ahayn </t>
  </si>
  <si>
    <t>A=11</t>
  </si>
  <si>
    <t>B=1</t>
  </si>
  <si>
    <t>C=1</t>
  </si>
  <si>
    <t>Staff</t>
  </si>
  <si>
    <t>Kaalmooyinka Qaybaha kale</t>
  </si>
  <si>
    <t>S/No.</t>
  </si>
  <si>
    <t>Dakhliga 2012</t>
  </si>
  <si>
    <t>Kharashka 2012</t>
  </si>
  <si>
    <t>Dawladda Dhexe</t>
  </si>
  <si>
    <t>Wakaaladaha Biyaha &amp;Laydhka</t>
  </si>
  <si>
    <t>Dekedda Berbera</t>
  </si>
  <si>
    <t xml:space="preserve">Raashinka &amp; Wixii Raaca </t>
  </si>
  <si>
    <t xml:space="preserve">Isticmaalka Nalka iyo Biyaha </t>
  </si>
  <si>
    <t>Mushaharka Shaqaalaha aan J/ahayn+Gudomiye</t>
  </si>
  <si>
    <t>Mushaharka Shaqaalaha aan J/ahayn.+wasir+samafal</t>
  </si>
  <si>
    <t>Mushaharka Shaqaalaha aan J/ahayn+Wasiiradda</t>
  </si>
  <si>
    <t>Mushaharka Shaqaalaha aan J/ahayn+wasiirka</t>
  </si>
  <si>
    <t>Mushaharka Shaqaalaha aan J/ahayn+gudomiye</t>
  </si>
  <si>
    <t>Mushaharka Sh/ aan J/ahayn Gudomiye kaliya</t>
  </si>
  <si>
    <t>Dakhli.</t>
  </si>
  <si>
    <t>Kharash.</t>
  </si>
  <si>
    <t>Qadarka</t>
  </si>
  <si>
    <t>M/xige</t>
  </si>
  <si>
    <t>1.1.0.0</t>
  </si>
  <si>
    <t>Dakhliga Cashuurta</t>
  </si>
  <si>
    <t>1.3.3.0</t>
  </si>
  <si>
    <t>Dakhliga Qaybaha Kale</t>
  </si>
  <si>
    <t>1.4.1.0</t>
  </si>
  <si>
    <t>Dakhliga Hawsha &amp; Hantidda</t>
  </si>
  <si>
    <t>Goobta</t>
  </si>
  <si>
    <t>Hargeysa</t>
  </si>
  <si>
    <t>Berbera</t>
  </si>
  <si>
    <t>Burco</t>
  </si>
  <si>
    <t>Borama</t>
  </si>
  <si>
    <t>C/Gaabo</t>
  </si>
  <si>
    <t>Gabiley</t>
  </si>
  <si>
    <t>Seylac</t>
  </si>
  <si>
    <t>Caynabo</t>
  </si>
  <si>
    <t>Las-Canod</t>
  </si>
  <si>
    <t>F/Weyne</t>
  </si>
  <si>
    <t>C/Cado</t>
  </si>
  <si>
    <t>Xariirad</t>
  </si>
  <si>
    <t>Abaarso</t>
  </si>
  <si>
    <t>Dilla</t>
  </si>
  <si>
    <t>A/Baday</t>
  </si>
  <si>
    <t>L/Haya</t>
  </si>
  <si>
    <t>B/Gubadle</t>
  </si>
  <si>
    <t>G/Total</t>
  </si>
  <si>
    <t>C/Bariga</t>
  </si>
  <si>
    <t>Kastamka</t>
  </si>
  <si>
    <t>Sub-Total A</t>
  </si>
  <si>
    <t>W/Ganacsiga</t>
  </si>
  <si>
    <t>W/Boostada</t>
  </si>
  <si>
    <t>W/Warfaafinta</t>
  </si>
  <si>
    <t>H/Guud (kiro)</t>
  </si>
  <si>
    <t>/Macdanta.Biyaha</t>
  </si>
  <si>
    <t>w/beeraha</t>
  </si>
  <si>
    <t>W/Kalumaysiga</t>
  </si>
  <si>
    <t>W/Reer Miyiga</t>
  </si>
  <si>
    <t>Haamaha berbera</t>
  </si>
  <si>
    <t>Sub-Total B</t>
  </si>
  <si>
    <t>K/D/Hoose</t>
  </si>
  <si>
    <t>Deyn</t>
  </si>
  <si>
    <t>D/hoose ee Dawlada</t>
  </si>
  <si>
    <t>Sub-Total C</t>
  </si>
  <si>
    <t>Cashuuraha.</t>
  </si>
  <si>
    <t>1.1.1</t>
  </si>
  <si>
    <t>Cashuuraha dakhliga</t>
  </si>
  <si>
    <t>1.1.1.1</t>
  </si>
  <si>
    <t>Cash/M/M shaqaalaha Rayidka ah</t>
  </si>
  <si>
    <t>1.1.1.2</t>
  </si>
  <si>
    <t>Cash/M/M Shaqaalaha Dawladda</t>
  </si>
  <si>
    <t>1.1.1.3</t>
  </si>
  <si>
    <t>Cash/M/M Ganacsiga</t>
  </si>
  <si>
    <t>Sub-Total</t>
  </si>
  <si>
    <t>1.1.3</t>
  </si>
  <si>
    <t>Cashuuraha Hantida</t>
  </si>
  <si>
    <t>1.1.3.5</t>
  </si>
  <si>
    <t>Cashuurta M/Macaashka Guryaha</t>
  </si>
  <si>
    <t>1.1.4</t>
  </si>
  <si>
    <t>Cashuurta Alaabta &amp; Adeega</t>
  </si>
  <si>
    <t>1.1.4.11</t>
  </si>
  <si>
    <t>Cashuurta Gadida</t>
  </si>
  <si>
    <t>1.1.4.4.1</t>
  </si>
  <si>
    <t>Daakhliga Faafinta &amp; Iidhehda</t>
  </si>
  <si>
    <t>1.1.4.4.2</t>
  </si>
  <si>
    <t>Dakhliga kale ee Boosaha &amp; Isgaadhsiinta</t>
  </si>
  <si>
    <t>1.1.4.4.3</t>
  </si>
  <si>
    <t>Handling Commission</t>
  </si>
  <si>
    <t>1.1.4.5</t>
  </si>
  <si>
    <t>Cashuurta Isticmaalka Alaabta &amp; Adeega</t>
  </si>
  <si>
    <t>1.1.4.5.1</t>
  </si>
  <si>
    <t>Liisanka shirkadaha dhismaha</t>
  </si>
  <si>
    <t>1.1.4.5.2</t>
  </si>
  <si>
    <t>Dakhliga Ruqsadaha Kale</t>
  </si>
  <si>
    <t>1.1.4.5.3</t>
  </si>
  <si>
    <t>Dakhliga Liisamada Ganac/&amp; Ruqsooyinka</t>
  </si>
  <si>
    <t>1.1.4.5.4</t>
  </si>
  <si>
    <t>Dakh/Feega Kaluumaysiga Bada</t>
  </si>
  <si>
    <t>1.1.4.5.5</t>
  </si>
  <si>
    <t>Dakh/Liisamada/Ruqsooyinka Macdanta</t>
  </si>
  <si>
    <t>1.1.4.5.6</t>
  </si>
  <si>
    <t>Cashuurta Diiwaan gelinta</t>
  </si>
  <si>
    <t>1.1.4.5.7</t>
  </si>
  <si>
    <t>Cashuurta Diiwaangelinta Maraakiibta &amp; Doonyaha</t>
  </si>
  <si>
    <t>1.1.4.5.8</t>
  </si>
  <si>
    <t>Laysanka Ganacsiga Baabuurta</t>
  </si>
  <si>
    <t>1.1.4.5.9</t>
  </si>
  <si>
    <t>Fiiga Xanaanada Xoolaha</t>
  </si>
  <si>
    <t>1.1.5</t>
  </si>
  <si>
    <t>Taxes on International trade &amp; transctions</t>
  </si>
  <si>
    <t>1.1.5.1</t>
  </si>
  <si>
    <t>Import Tax (Cashuuta soo dejinta)</t>
  </si>
  <si>
    <t>1.1.5.2</t>
  </si>
  <si>
    <t>Export Tax (Cashuurta Dejinta)</t>
  </si>
  <si>
    <t>1.1.5.5</t>
  </si>
  <si>
    <t>Cashuurta Dekadaha (H.Tax)</t>
  </si>
  <si>
    <t>1.1.5.6</t>
  </si>
  <si>
    <t>Cash/Dhoofinta Xoolaha (L/S/Levy)</t>
  </si>
  <si>
    <t>1.1.6</t>
  </si>
  <si>
    <t>Cashuuraha Kale</t>
  </si>
  <si>
    <t>1.1.6.0</t>
  </si>
  <si>
    <t>Cashuuraha Kala duwan</t>
  </si>
  <si>
    <t>1.1.6.1</t>
  </si>
  <si>
    <t>Cashuurta Moorka</t>
  </si>
  <si>
    <t>1.1.6.2</t>
  </si>
  <si>
    <t>Cash/Socodka Baabuurta</t>
  </si>
  <si>
    <t>1.1.6.3</t>
  </si>
  <si>
    <t>Cashuurta Baaqatay ee kale</t>
  </si>
  <si>
    <t>1.1.6.4</t>
  </si>
  <si>
    <t>Iibsiga Tigidhada Dakhliga</t>
  </si>
  <si>
    <t>1.3.3</t>
  </si>
  <si>
    <t>From other general governments units</t>
  </si>
  <si>
    <t>1.3.3.1</t>
  </si>
  <si>
    <t>Deynta Gudaha/Deeq</t>
  </si>
  <si>
    <t>1.3.3.2</t>
  </si>
  <si>
    <t>Dakhliaga Dawlada ee Faa'iidada Wakaladaha</t>
  </si>
  <si>
    <t>1.3.3.3</t>
  </si>
  <si>
    <t>Dakhliga Deeqda D/Hoose</t>
  </si>
  <si>
    <t>1.3.3..4</t>
  </si>
  <si>
    <t>Dakhliga Daabacaadda Lacagta</t>
  </si>
  <si>
    <t>1.4.1</t>
  </si>
  <si>
    <t>Dakhliga kale</t>
  </si>
  <si>
    <t>1.4.1.5</t>
  </si>
  <si>
    <t>Dakhliga Iibka Khayraadka Dalka</t>
  </si>
  <si>
    <t>1.4.1.6</t>
  </si>
  <si>
    <t>Dakhliga gadida hantida Dawlada</t>
  </si>
  <si>
    <t>1.4.1.7</t>
  </si>
  <si>
    <t>Dakhliga Kirada Guryaha &amp; Bakhaarada</t>
  </si>
  <si>
    <t>1.4.1.8</t>
  </si>
  <si>
    <t>Dakh/Gegida Diyaaradaha &amp; Ajuurada</t>
  </si>
  <si>
    <t>1.4.1.9</t>
  </si>
  <si>
    <t>Dakhliga Haamaha Shidaalka</t>
  </si>
  <si>
    <t>1.4.2</t>
  </si>
  <si>
    <t>Sales of Goods &amp; Services</t>
  </si>
  <si>
    <t>1.4.2.1</t>
  </si>
  <si>
    <t>Cashuurta Maamulka</t>
  </si>
  <si>
    <t>1.4.2.2</t>
  </si>
  <si>
    <t>Dakhliga Ajuurada Maxkamadaha</t>
  </si>
  <si>
    <t>1.4.2.3</t>
  </si>
  <si>
    <t xml:space="preserve">Dakh/Nootaayooyinka </t>
  </si>
  <si>
    <t>1.4.2.4</t>
  </si>
  <si>
    <t>Fiiga Baasaboorada &amp; Fiisaha</t>
  </si>
  <si>
    <t>1.4.2.5</t>
  </si>
  <si>
    <t>Cashuurta Gudubka Badeecadda</t>
  </si>
  <si>
    <t>1.4.2.6</t>
  </si>
  <si>
    <t>Dakhliga Numberka &amp; Tijaabada Gaadiidka</t>
  </si>
  <si>
    <t>1.4.2.7</t>
  </si>
  <si>
    <t>Dakh/ Darawalnimada &amp; Lahaanshaha Gaadiidka</t>
  </si>
  <si>
    <t>1.4.2.8</t>
  </si>
  <si>
    <t>Fiisada Baasabooradda Ajanabiga</t>
  </si>
  <si>
    <t>1.4.2.9</t>
  </si>
  <si>
    <t>Fiiga Baasabooradda Wadaniga</t>
  </si>
  <si>
    <t>1.4.2.10</t>
  </si>
  <si>
    <t>Enbarketion Fees for Foreings</t>
  </si>
  <si>
    <t>1.4.2.12</t>
  </si>
  <si>
    <t>Dakhliga kala wareejinta Hantidda</t>
  </si>
  <si>
    <t>1.4.3</t>
  </si>
  <si>
    <t>Fines,Penalities &amp; Forefeits</t>
  </si>
  <si>
    <t>1.4.3.1</t>
  </si>
  <si>
    <t>Dakhliga Ganaaxyada</t>
  </si>
  <si>
    <t>1.4.3.3</t>
  </si>
  <si>
    <t xml:space="preserve"> Iibsiga xadhiga xabsiga </t>
  </si>
  <si>
    <t>1.4.4</t>
  </si>
  <si>
    <t>Voluntary transfers other than grants</t>
  </si>
  <si>
    <t>Wadarta Dakhliga Guud</t>
  </si>
  <si>
    <t>Dabacadda Lacagta</t>
  </si>
  <si>
    <t>Mushaharka Shaqaalaha</t>
  </si>
  <si>
    <t>Gunooyin</t>
  </si>
  <si>
    <t>Two Months</t>
  </si>
  <si>
    <t>Year 2012</t>
  </si>
  <si>
    <t>Total commitment</t>
  </si>
  <si>
    <t>Dakhliga Dhabta ah ee ka Qaybinayo</t>
  </si>
  <si>
    <t>Cash Balance for further distribution</t>
  </si>
  <si>
    <t>cash budgeting for the year 2012</t>
  </si>
  <si>
    <t xml:space="preserve">January </t>
  </si>
  <si>
    <t>February</t>
  </si>
  <si>
    <t xml:space="preserve">March 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</si>
  <si>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</si>
  <si>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</si>
  <si>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</si>
  <si>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</si>
  <si>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</si>
  <si>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</si>
  <si>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</si>
  <si>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</si>
  <si>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</si>
  <si>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Commitments</t>
  </si>
  <si>
    <t xml:space="preserve">Safaaradaha </t>
  </si>
  <si>
    <t xml:space="preserve">ijaarka xafiisyada </t>
  </si>
  <si>
    <t>W/Deegaanka &amp; Horumarinta Reermiyiga</t>
  </si>
  <si>
    <t>Mushaharka Shaqaalaha aan J/ahayn( Gudoomiye &amp; Kuxigeen)</t>
  </si>
  <si>
    <t>Miis. 2013</t>
  </si>
  <si>
    <t>Miis.2013</t>
  </si>
  <si>
    <t>Gunnada xil</t>
  </si>
  <si>
    <t>Gunnada Xil</t>
  </si>
  <si>
    <t>Gunnada Xil.</t>
  </si>
  <si>
    <t>Mii.2013</t>
  </si>
  <si>
    <t>Mii.2012</t>
  </si>
  <si>
    <t xml:space="preserve">Gunnada Xil </t>
  </si>
  <si>
    <t>Miis. 2013.</t>
  </si>
  <si>
    <t>Miis 2013</t>
  </si>
  <si>
    <t>kharashka nabadgalyada( 2Askari)</t>
  </si>
  <si>
    <t>Baahinta qandaraasyada</t>
  </si>
  <si>
    <t>Kharashka Wacyi-gelinta</t>
  </si>
  <si>
    <t>Iibsiga Qalabka Xafiisyada &amp; Guryaha</t>
  </si>
  <si>
    <t>Hard Allowance</t>
  </si>
  <si>
    <t>Kharashka Dhiirigelinta &amp; Abaalmarinta</t>
  </si>
  <si>
    <t>Kh. Qalinjebinta Ardayda Jam.Eithopia</t>
  </si>
  <si>
    <t>2.2.1.32B</t>
  </si>
  <si>
    <t>Kharashka Xafiiska Madaxweyne Kuxigeenka</t>
  </si>
  <si>
    <t>Kharashka Faafinta Shuruucda</t>
  </si>
  <si>
    <t>Kh.Mashruuca Wajaale &amp; Aburiin</t>
  </si>
  <si>
    <t>Kharashka Dhirigelinta Sh. Dakhli-ururinta</t>
  </si>
  <si>
    <t>Kh. Baadhida Alaabta &amp; Cuntada</t>
  </si>
  <si>
    <t>Wasaarada Wershadaha</t>
  </si>
  <si>
    <t>Kh.Garsoorayaasha Dadweyne( Public Defenders)</t>
  </si>
  <si>
    <t xml:space="preserve">Mushaharka Shaqaalaha joogtada ah </t>
  </si>
  <si>
    <t xml:space="preserve">Magaha Guud ee Qaranka </t>
  </si>
  <si>
    <t>Kaalmooyinka Guud (Asxaabta Qaranka)</t>
  </si>
  <si>
    <t xml:space="preserve">kharashka Safaradda Dibadda </t>
  </si>
  <si>
    <t>Kharashka Hawlgaladda Ciidanka.</t>
  </si>
  <si>
    <t>Kharashka Diyaarinta Shuruucda Wadooyinka</t>
  </si>
  <si>
    <t>Kharashka Lama Filaanka ah ( W. Maaliyadda)</t>
  </si>
  <si>
    <t>Mushaharka Shaq. aan J/ahayn (Wasiir+Samafal)</t>
  </si>
  <si>
    <t>Daaweynta &amp; Caafimaadka Shaq. Dowlada</t>
  </si>
  <si>
    <t>Miisaaniyada M/xigeen</t>
  </si>
  <si>
    <t>Kharashka Nabad-gelyadda(sadex askari).</t>
  </si>
  <si>
    <t>Gunnada Xil&amp; Guri</t>
  </si>
  <si>
    <t>Noolka Safarada Gudaha &amp; Badalka Shaq.</t>
  </si>
  <si>
    <t>Noolka Safarada Dibadda</t>
  </si>
  <si>
    <t>Daryeelka Qalabka Isgaadhsiinta</t>
  </si>
  <si>
    <t>Kharashka Markhaatiyada &amp; Dambi-baadhista</t>
  </si>
  <si>
    <t>Kharashka Noolka &amp; Sahaysiinta Maxaabiista</t>
  </si>
  <si>
    <t xml:space="preserve">Hayadda Sirdoonka Qaranka </t>
  </si>
  <si>
    <t>Jimciyadda Muj.Sooyaal</t>
  </si>
  <si>
    <t>Daabacaada Baasaaboorada</t>
  </si>
  <si>
    <t>Gunno Dhakhaatiireed + lataliye</t>
  </si>
  <si>
    <t>Kharashka Diiwangelinta Dadwaynaha</t>
  </si>
  <si>
    <t>Ijaarka Xafiisyadda &amp; Guryaha.(xaf.wasarada)</t>
  </si>
  <si>
    <t>Kh. Hawsha Iskaashiga Caalamiga ah</t>
  </si>
  <si>
    <t>Martiqaadyada &amp; Munaasibadaha</t>
  </si>
  <si>
    <t>Kh.Agaasinka Waxb. Gaarka loo leeyahay</t>
  </si>
  <si>
    <t>Kh. Waxka qabashada Xaalufka</t>
  </si>
  <si>
    <t>2% Gobolada Bariga</t>
  </si>
  <si>
    <t>Fuel Levy Wadooyinka</t>
  </si>
  <si>
    <t>Kh.Sameynta Miisaaniyadda, Xis. Xidhadda &amp;Maamulka</t>
  </si>
  <si>
    <t>Kh. La dagaalanka Kotarabanka,Kormeerka &amp; Badhista</t>
  </si>
  <si>
    <t xml:space="preserve">Isticmaalka Biyaha Masaajidada Hargaysa  </t>
  </si>
  <si>
    <t>Gurmadka Ciidanka</t>
  </si>
  <si>
    <t>Mushaharka iyo Gunnada Madaxweynaha</t>
  </si>
  <si>
    <t xml:space="preserve">                                  Mushaharka iyo Gunnada Madax-weyne ku xigeenka </t>
  </si>
  <si>
    <t>W/Ciyaaraha, Dhalinyaradda &amp; Dalxiiska .</t>
  </si>
  <si>
    <t>W.Warfaafinta &amp; Wacyigelinta &amp; Dhaqanka .</t>
  </si>
  <si>
    <t>Qasnada Guud ee Qaranka</t>
  </si>
  <si>
    <t>Wasaarada Biyaha</t>
  </si>
  <si>
    <t>W.Macdanta &amp; Tamarta.</t>
  </si>
  <si>
    <t>Wasarada Xidh Golayaasha  Cilm. Badhis iyo Tech.</t>
  </si>
  <si>
    <t>Miis. 2014</t>
  </si>
  <si>
    <t>Miis.2014</t>
  </si>
  <si>
    <t>Mii.2014</t>
  </si>
  <si>
    <t>Miis 2014</t>
  </si>
  <si>
    <t>Iibsiga Gaadiidka</t>
  </si>
  <si>
    <t>Guno hawleed</t>
  </si>
  <si>
    <t>Saamiga Dawladda ee Mashruuca JPLG</t>
  </si>
  <si>
    <t>Maamuuska Madaxweynayaash iyo Kuxigeenada</t>
  </si>
  <si>
    <t>Iibsiga Gaadiidka iyo Miishiinadda.</t>
  </si>
  <si>
    <t>Dhismaha Derka.</t>
  </si>
  <si>
    <t>Dhiismayaasha Cusub</t>
  </si>
  <si>
    <t>Dhismaha Xaafiska Hanti dhawraha.</t>
  </si>
  <si>
    <t>Mashruuca Xoolaha</t>
  </si>
  <si>
    <t>Ijaarka,</t>
  </si>
  <si>
    <t>Kh. Nabadgelyada</t>
  </si>
  <si>
    <t>KH. Kormeerka iyo Sahaminta Shidaalka</t>
  </si>
  <si>
    <t>Iibsiga Qalabaka Boosaha &amp; Isgaadhsiinta.</t>
  </si>
  <si>
    <t xml:space="preserve">Kaalmada Guud </t>
  </si>
  <si>
    <t>Kaalmada Bisha Cas</t>
  </si>
  <si>
    <t xml:space="preserve">Kaalmada dugsiga Hargeisa Nursing </t>
  </si>
  <si>
    <t>Bar Tartanka Qu'anka Karimka iyo wacy gelinta</t>
  </si>
  <si>
    <t xml:space="preserve">Gunno hawleed </t>
  </si>
  <si>
    <t>Dhismaha Madaarka Borama.</t>
  </si>
  <si>
    <t xml:space="preserve">Kh. Cilmi Baadhista </t>
  </si>
  <si>
    <t>Mashruuca Shaqo Abuurka( Job Centers)</t>
  </si>
  <si>
    <t xml:space="preserve">Iibsiga Qalabka Xafiisyadd, </t>
  </si>
  <si>
    <t>Tababarka imaamada iyo mu'adiniinta</t>
  </si>
  <si>
    <t>Kharashka Faafinta Shuruucda Biyaha.</t>
  </si>
  <si>
    <t>Kh. Cilmi Baadhista ( Macro economic Research)</t>
  </si>
  <si>
    <t>Kharashka Nabadgelyadda.</t>
  </si>
  <si>
    <t>dhismayaasha</t>
  </si>
  <si>
    <t>dhismayaasha cusub</t>
  </si>
  <si>
    <t>hawsha miinosaarka (smac)</t>
  </si>
  <si>
    <t>kabka Miisaaniyada</t>
  </si>
  <si>
    <t>Kaalmada Ururka Xisaabaadka</t>
  </si>
  <si>
    <t>kh.Xisaab xidhka xisaabaadka Guud</t>
  </si>
  <si>
    <t>kh.rarista Ducomentiga xisaabaadka</t>
  </si>
  <si>
    <t>kh.sameynta Date base-ka xisaabaadka</t>
  </si>
  <si>
    <t>kh.hawlaha Maalgashiga Caalamiga ah</t>
  </si>
  <si>
    <t>sacadadiin Boardig</t>
  </si>
  <si>
    <t>cali ciise Boarding school</t>
  </si>
  <si>
    <t>kh.gaarka</t>
  </si>
  <si>
    <t>kharashka sameyta Xisaab xidhka</t>
  </si>
  <si>
    <t>Dhismaha Hoolka fanka</t>
  </si>
  <si>
    <t>kh.wacyigalinta</t>
  </si>
  <si>
    <t>Gurmadka Abaaraha</t>
  </si>
  <si>
    <t>Gaadiidka &amp; Mishiinada (xafiska samafalka)</t>
  </si>
  <si>
    <t>Kh.baadhista iyo R/Raaca taariikhda duugaa</t>
  </si>
  <si>
    <t>kh.wacyigalinta siyaasada dhalinyarada</t>
  </si>
  <si>
    <t xml:space="preserve">Noolka Safaradda xajka </t>
  </si>
  <si>
    <t>Martiqaadyada</t>
  </si>
  <si>
    <t>Gunno ( Lataliyaayaal)</t>
  </si>
  <si>
    <t>kh.ilaalinta Macdanta</t>
  </si>
  <si>
    <t xml:space="preserve">Kaalmada Dugsiyada </t>
  </si>
  <si>
    <t>Hay'adda Dhawrista tayada</t>
  </si>
  <si>
    <t>Hay'ada Maamulwanaaga iyo La-dagaalanka Mus</t>
  </si>
  <si>
    <t>Kaalmooyinka qaybaha kale ee Ciimada</t>
  </si>
  <si>
    <t>Iibsiga Qalabka xafiisyada</t>
  </si>
  <si>
    <t>Kaalmada Kuliyada saraakiisha ciidanka dararweyne</t>
  </si>
  <si>
    <t>guno hawleed</t>
  </si>
  <si>
    <t>kh.qiimeynta &amp;.dabagaka mash hay'ddaha calam/dowla</t>
  </si>
  <si>
    <t>Wasaaradda  Madaxtooyadda.</t>
  </si>
  <si>
    <t xml:space="preserve">W/Kalluumaysiga iyo  Khayraadka Badda </t>
  </si>
  <si>
    <t>Comishanka Qaranka ee la dagaalanka HIV/AIDKA</t>
  </si>
  <si>
    <t>W/Ganacsiga Maalgashiga Caalamiga</t>
  </si>
  <si>
    <t>Hay'adda Abaabul kasaarka Qaranka</t>
  </si>
  <si>
    <t>Hay'adda Deg.Cilmi.iyo diyargarowga dhibaatooyinka</t>
  </si>
  <si>
    <t>Hadhaaga Khasnadda Dawladda,31-Dec,2012</t>
  </si>
  <si>
    <t>Cashuuraha Dakhliga</t>
  </si>
  <si>
    <t>Dakhliga ruqsadaha Biyaha iyo kuwa kale</t>
  </si>
  <si>
    <t>Dakhliga Ruqsadaha Beeraha iyo kuwa Kale</t>
  </si>
  <si>
    <t>Dakh/Feega  Royalityga Dekeda</t>
  </si>
  <si>
    <t>Export Tax (Cashuurta soo Dejinta)</t>
  </si>
  <si>
    <t>1.1.5.6 A</t>
  </si>
  <si>
    <t xml:space="preserve"> Road Export Levy(Cashuurta.H.W Dhoofka Xoolaha</t>
  </si>
  <si>
    <t>Dakhliga Hantida</t>
  </si>
  <si>
    <t>Fiiga Gelista iyo Bixista Madaarada</t>
  </si>
  <si>
    <t>1.4.2.4 A</t>
  </si>
  <si>
    <t>Fiiga Iibka Baasaaboorada</t>
  </si>
  <si>
    <t>1.4.4.0</t>
  </si>
  <si>
    <t>1.4.4.1</t>
  </si>
  <si>
    <t>Fuel levy</t>
  </si>
  <si>
    <t>1.4.4.2</t>
  </si>
  <si>
    <t>1.4.4.3</t>
  </si>
  <si>
    <t>Lecense leavy</t>
  </si>
  <si>
    <t>1.4.4.4</t>
  </si>
  <si>
    <t>Road Leavy</t>
  </si>
  <si>
    <t>W/beeraha</t>
  </si>
  <si>
    <t>fuel levy</t>
  </si>
  <si>
    <t>Kabka D/Hoose</t>
  </si>
  <si>
    <t>Head</t>
  </si>
  <si>
    <t>Wasaarada/Hay'adda</t>
  </si>
  <si>
    <t xml:space="preserve">Garyaqaanka Guud ee Qaranka </t>
  </si>
  <si>
    <t>15B</t>
  </si>
  <si>
    <t>Waaxda Miisaaniyada &amp; Qasnada</t>
  </si>
  <si>
    <t xml:space="preserve">W/X/Xoolaha </t>
  </si>
  <si>
    <t>W/Ciyaaraha, Dhalinyaradda iyo dalxiiska</t>
  </si>
  <si>
    <t>Wasaaradda Deegaanka Hormarinta Reer Miyiga</t>
  </si>
  <si>
    <t>Wasaaradda Dib U Dajinta</t>
  </si>
  <si>
    <t>Wasaaradda Biyaha</t>
  </si>
  <si>
    <t xml:space="preserve"> total</t>
  </si>
  <si>
    <t>Miis.2015</t>
  </si>
  <si>
    <t>Miis. 2015</t>
  </si>
  <si>
    <t>Miis 2015</t>
  </si>
  <si>
    <t>Miis .2015</t>
  </si>
  <si>
    <t xml:space="preserve">Iibsiga Hantida Raagta </t>
  </si>
  <si>
    <t>Iibsiga Hantidda kale ee dowladda</t>
  </si>
  <si>
    <t>Iibsiga Hantidda kale ee Dowladda</t>
  </si>
  <si>
    <t>Iibsiga Hantida kale ee dowlada( Qalabka Cidanka)</t>
  </si>
  <si>
    <t>Raadraac iyo Baadhista Taariikhada( SNM)</t>
  </si>
  <si>
    <t>kharashka nabadgalyada( 2 Askari)</t>
  </si>
  <si>
    <t xml:space="preserve">Biilasha Taagan </t>
  </si>
  <si>
    <t>Iibsiga hantida kale (Qalabka ciidanka)</t>
  </si>
  <si>
    <t>Daryeelka Hantida kale ee dowladda</t>
  </si>
  <si>
    <t xml:space="preserve">Iibsiga Gaadiidka </t>
  </si>
  <si>
    <t>Dhiirigalinta</t>
  </si>
  <si>
    <t xml:space="preserve">031 GOLAHA WAKIILADA </t>
  </si>
  <si>
    <t>041 MAXKAMADA SARE</t>
  </si>
  <si>
    <t>071 HANTI-DHAWRKA GUUD EE QARANKA</t>
  </si>
  <si>
    <t>082 CIIDANKA ILAALADA MADAXTOOYADA</t>
  </si>
  <si>
    <t xml:space="preserve">083 GARYAQAANKA GUUD </t>
  </si>
  <si>
    <t>084 HAY'ADDA SIRDOONKA QARANKA</t>
  </si>
  <si>
    <t>101 W. CADAALADA IYO GARSOORKA</t>
  </si>
  <si>
    <t xml:space="preserve">102 CIIDANKA ASLUUBTA </t>
  </si>
  <si>
    <t>103. MAXKAMADA HOOSE</t>
  </si>
  <si>
    <t>104 GUDIGA XUQUUQAL-INSAANKA QARANKA</t>
  </si>
  <si>
    <t>105 GUDIGA DIB-U HABAYNTA SHURUUCDA</t>
  </si>
  <si>
    <t xml:space="preserve">112. CIIDANKA BOOLIISKA </t>
  </si>
  <si>
    <t>113. CIIDANKA ILAALADA XEEBAHA</t>
  </si>
  <si>
    <t>115 LAANTA SOCDAALKA</t>
  </si>
  <si>
    <t>131. W.GAASHANDHIGA</t>
  </si>
  <si>
    <t>132. CIIDANKA QARANKA</t>
  </si>
  <si>
    <t xml:space="preserve">141 W. QORSHAYNTA QARANKA </t>
  </si>
  <si>
    <t>151 W. MAALIYADA</t>
  </si>
  <si>
    <t>152 KHASNADA GUUD EE QARANKA</t>
  </si>
  <si>
    <t>161 W. GANACSIGA IYO MAALGASHIGA CAALAMIGA AH</t>
  </si>
  <si>
    <t>171 W.MACDANTA IYO TAMARTA</t>
  </si>
  <si>
    <t>181 W.KALUUMAYSIGA IYO KHAYRAADKA BADDA</t>
  </si>
  <si>
    <t>191 W.BEERAHA</t>
  </si>
  <si>
    <t>201 W. XANAANADA XOOLAHA</t>
  </si>
  <si>
    <t>211 W. BOOSAHA IYO ISGAADHSIINTA</t>
  </si>
  <si>
    <t>221 W. WAXBARASHADA</t>
  </si>
  <si>
    <t>222 AGAASIMKA TACLIINTA SARE</t>
  </si>
  <si>
    <t>223 GUDIDA TACLIINTA SARE</t>
  </si>
  <si>
    <t>231 W.CAAFIMAADKA</t>
  </si>
  <si>
    <t>241 W.DIINTA IYO AWQAAFTA</t>
  </si>
  <si>
    <t>251 W.HAWLAHA GUUD ,GAADIIKA IYO GURIYAYNTA</t>
  </si>
  <si>
    <t>261 W.DUULISTA IYO HAWADA</t>
  </si>
  <si>
    <t>271-HAY'ADDA ABAABULKASAARKA QARANKA (N.D.R.C)</t>
  </si>
  <si>
    <t>291 WASARADA XIDH. GOLAYAASHA CILM. B. IYO TECH</t>
  </si>
  <si>
    <t>301 WASAARADA SHAQADA IYO ARIMAHA BULSHADA</t>
  </si>
  <si>
    <t>321 GUDIDA DOORASHOOYINKA QARANKA</t>
  </si>
  <si>
    <t>331 GUDIDA QANDARAASYADA QARANKA</t>
  </si>
  <si>
    <t>341- HAY'ADA DEEGANKA, CILMIBADHISTA IYO U DIYARGAWGA DHIB. (NERAD)</t>
  </si>
  <si>
    <t>381-HAY'ADDA DHAWRISTA TAYADA (Q. C)</t>
  </si>
  <si>
    <t>391-KOMISHANKA MAAULWANAAGA &amp; LA DAGAANKAKA M/MAASUQA.</t>
  </si>
  <si>
    <t>401 W. DIB-U-DAJINTA</t>
  </si>
  <si>
    <t>411 W.DEEGAANKA IYO REERMIYIGA</t>
  </si>
  <si>
    <t>421 XAFIISKA GUDIGA FURASHADA URURADA</t>
  </si>
  <si>
    <t>431. WASAARADA WARSHADAHA</t>
  </si>
  <si>
    <t>441 WASAARADA BIYAHA</t>
  </si>
  <si>
    <t>Kh.faafinta  Dib u Habeeynta  Shuruucada</t>
  </si>
  <si>
    <t xml:space="preserve">Mushaharka Shaqaalaha Ciidamadda  joogtada </t>
  </si>
  <si>
    <t>011</t>
  </si>
  <si>
    <t>012</t>
  </si>
  <si>
    <t>031</t>
  </si>
  <si>
    <t>013</t>
  </si>
  <si>
    <t>021</t>
  </si>
  <si>
    <t>041</t>
  </si>
  <si>
    <t>051</t>
  </si>
  <si>
    <t>061</t>
  </si>
  <si>
    <t>071</t>
  </si>
  <si>
    <t>081</t>
  </si>
  <si>
    <t>082</t>
  </si>
  <si>
    <t>083</t>
  </si>
  <si>
    <t>084</t>
  </si>
  <si>
    <t>085</t>
  </si>
  <si>
    <t>091</t>
  </si>
  <si>
    <t>P.NO</t>
  </si>
  <si>
    <t>Dhismaha xarunta hayadda shaqaalaha</t>
  </si>
  <si>
    <t xml:space="preserve">Dhisme </t>
  </si>
  <si>
    <t>iibsiga Qalabka xafiisyadda</t>
  </si>
  <si>
    <t>Dhismaha Maxkamada</t>
  </si>
  <si>
    <t>Kh. Yaryar ee xafiiska</t>
  </si>
  <si>
    <t xml:space="preserve">Dhiirigalinta </t>
  </si>
  <si>
    <t xml:space="preserve">Dhismaha Garsoorka Bari </t>
  </si>
  <si>
    <t>Munaasibadaha Qaran ee 18May iyo 26June</t>
  </si>
  <si>
    <t>Kh. Diwaangalinta codbixiyayaasha</t>
  </si>
  <si>
    <t xml:space="preserve">Mashruuca Timirta </t>
  </si>
  <si>
    <t>Kaalmada Dhimirka Mujahidiintii SNM</t>
  </si>
  <si>
    <t xml:space="preserve">Gunno Lataliye + Hawleed </t>
  </si>
  <si>
    <t xml:space="preserve">Kharashka Nabadgalyadda </t>
  </si>
  <si>
    <t xml:space="preserve">Kaalmooyin </t>
  </si>
  <si>
    <t>Kaalmooyinka dadka Nugul</t>
  </si>
  <si>
    <t>Tobabarka Imtixaanada (Feega Jaamacadaha)</t>
  </si>
  <si>
    <t>Cilmi baadhista iyo xog ururinta</t>
  </si>
  <si>
    <t>Kh. Barakacayaasha (IDPS)</t>
  </si>
  <si>
    <t xml:space="preserve">kh. Nabadgalyadda </t>
  </si>
  <si>
    <t>Iibsiga Hantida Kale (industrial soone)</t>
  </si>
  <si>
    <t xml:space="preserve">Dhismaha wasaaradda </t>
  </si>
  <si>
    <t>Kaalmada Degmo Center for heritage and rural life</t>
  </si>
  <si>
    <t>Qalabka Caafimaadka(Q. Mashiinka Kalyaha iyo iibsiga dawadiisa)</t>
  </si>
  <si>
    <t>Gaadiidka &amp; Mishiinada (wiishka baabuurta qada)</t>
  </si>
  <si>
    <t>Kh. Nabadgalyada</t>
  </si>
  <si>
    <t>Raashinka iyo timirta Naafada Qaranka 3,052</t>
  </si>
  <si>
    <t xml:space="preserve">Kh. Nabadgalyadda </t>
  </si>
  <si>
    <t>Barnaamijyadda Hawlaha Shaqo ee xidhiidhada</t>
  </si>
  <si>
    <t>Ijaarka Xafiiska Badhan</t>
  </si>
  <si>
    <t>Dhismeyaasha</t>
  </si>
  <si>
    <t>P.N0</t>
  </si>
  <si>
    <t>Dhismayaasha (MCH)</t>
  </si>
  <si>
    <t xml:space="preserve">Gunno Lataliyayaal </t>
  </si>
  <si>
    <t>Komishanka qaranka Mihnadleyda caafimaadka</t>
  </si>
  <si>
    <t xml:space="preserve"> Kharashka  xafiiska (ICT)</t>
  </si>
  <si>
    <t xml:space="preserve">Kh. Hawlaha TV-ga Qaranka </t>
  </si>
  <si>
    <t>Kh. Xafiisyadda dibada ee TV-ga Qaranka</t>
  </si>
  <si>
    <t xml:space="preserve">Kh. Satalite ka thaico iyo Hordird </t>
  </si>
  <si>
    <t xml:space="preserve">Iibsiga Barnaamijyadda TV-ga </t>
  </si>
  <si>
    <t>Iibsiga Hantidda kale (Qalabka idaacada iyo TV-ga)</t>
  </si>
  <si>
    <t>Biilasha taagan (Kirada guriga sanadkii hore)</t>
  </si>
  <si>
    <t>Kaalmada Academic And Art</t>
  </si>
  <si>
    <t xml:space="preserve">Kh. Horumarinta Madaaradda </t>
  </si>
  <si>
    <t>Kh. Dorashoyinka Barlamanka  iyo Madaxtooyada</t>
  </si>
  <si>
    <t>W.Diinta &amp; Awqaafta.</t>
  </si>
  <si>
    <t>W.Hawlaha Guud,Gaadiidka&amp; Guriyaynta</t>
  </si>
  <si>
    <t>Dhismayaal</t>
  </si>
  <si>
    <t>Kh. Xafiiska Baadhista xasuuqa</t>
  </si>
  <si>
    <t>Dhismaha Mashruuca Wadooyinka ee ( export livestock levy)</t>
  </si>
  <si>
    <t>Qasriga Madaxtooyada JSL.</t>
  </si>
  <si>
    <t>Comishanka Qaranka ee la dagaalanka HIV/AIDS-KA</t>
  </si>
  <si>
    <t>Golaha Wakiilada JSL.</t>
  </si>
  <si>
    <t>Maxkamadda Sare.</t>
  </si>
  <si>
    <t>Xeer Ilaalinta Guud ee Qaranka.</t>
  </si>
  <si>
    <t>Hanti-dhawrka Guud ee Qaranka.</t>
  </si>
  <si>
    <t>Ciidanka Ilaaladda Madaxtooyada.</t>
  </si>
  <si>
    <t>W.Arrimaha Dibadda.</t>
  </si>
  <si>
    <t>Max-kamadda Hoose.</t>
  </si>
  <si>
    <t>Ciidanka Ilaalada Xeebaha.</t>
  </si>
  <si>
    <t>Wasaaradda Gaashandhigga.</t>
  </si>
  <si>
    <t>khasnada Guud ee Qaranka</t>
  </si>
  <si>
    <t>Wasaaradda Ganacsiga &amp; Maalgashiga Caalamiga</t>
  </si>
  <si>
    <t>Wasaaradda Macdanta &amp; Tamarta.</t>
  </si>
  <si>
    <t xml:space="preserve">Wasaaradda Kalluumaysiga iyo  Khayraadka Badda </t>
  </si>
  <si>
    <t>Wasaaradda Xanaannada Xoolaha</t>
  </si>
  <si>
    <t>Wasaaradda Boostada &amp; Isgaadhsiinta.</t>
  </si>
  <si>
    <t>Wasaaradda Waxbarashada &amp; Tacliinta Sare.</t>
  </si>
  <si>
    <t>Komishanka qaranka ee Mihnadlayaasha caafimadka</t>
  </si>
  <si>
    <t>Wasaaradda Diinta &amp; Awqaafta.</t>
  </si>
  <si>
    <t>Wasaaradda Hawlaha Guud,Gaadiidka&amp; Guriyaynta</t>
  </si>
  <si>
    <t xml:space="preserve">Wasaaradda Duulista &amp; Hawada. </t>
  </si>
  <si>
    <t>Wasaradda Xidh Golayaasha  Cilm. Badhis iyo Tech.</t>
  </si>
  <si>
    <t>Wasaaradda Shaqadda &amp; Arrimaha Bulshada.</t>
  </si>
  <si>
    <t>Hay'adda Deg.Cilmi.iyo u diyargarowga dhibaatooyinka</t>
  </si>
  <si>
    <t>Hay'adda Maamulwanaaga iyo La-dagaalanka Mus</t>
  </si>
  <si>
    <t xml:space="preserve">Wasaaraadda  dib u dajinta </t>
  </si>
  <si>
    <t>Wasaaradda Degaanka &amp; Horumarinta Reermiyiga</t>
  </si>
  <si>
    <t xml:space="preserve">Guddida Diwaangalinta Ururada </t>
  </si>
  <si>
    <t>Wasaaradda Wershadaha</t>
  </si>
  <si>
    <t>Hadhaaga Khasnadda Dawladda,31-Dec,2012,2013</t>
  </si>
  <si>
    <t xml:space="preserve">Khidmada adeega madaarada </t>
  </si>
  <si>
    <t>Cashuurta Diiwaangelinta Hantida</t>
  </si>
  <si>
    <t>Cashuurta Ganacsiga alaabta debeda</t>
  </si>
  <si>
    <t>Cashuurta.H.W Dhoofka Xoolaha</t>
  </si>
  <si>
    <t>Dulsaarka shidaalka</t>
  </si>
  <si>
    <t>Cashuurta Horumarinta wadada</t>
  </si>
  <si>
    <t>Dulsaarka wadada</t>
  </si>
  <si>
    <t>Dakhliga Iibsiga Alaabta iyo Adeega</t>
  </si>
  <si>
    <t>Dakh/ Darawalnimada</t>
  </si>
  <si>
    <t>Dakhliga Buuga Lahaanshaha Gaadiidka</t>
  </si>
  <si>
    <t>Dulsaarka liisamada Gaadiidka</t>
  </si>
  <si>
    <t>Khidmada Galista iyo bixiista Baasabooradda Wadaniga</t>
  </si>
  <si>
    <t>Ganaaxyada/lawaregista</t>
  </si>
  <si>
    <t>2% Qaadhaanka horumarintaGobolada Bariga</t>
  </si>
  <si>
    <t>Mushaharka Shaqaalaha  joogtada ah TV-ga</t>
  </si>
  <si>
    <t>Guno hawleed TV-ga</t>
  </si>
  <si>
    <t>013 KOMISHANKA QARANKA EE LADAGAALNKA AIDS-ka</t>
  </si>
  <si>
    <t>S/N</t>
  </si>
  <si>
    <t>Percentage %</t>
  </si>
  <si>
    <t>Hadhaaga Khasnadda ee  Dec,31,2013</t>
  </si>
  <si>
    <t>Cashuuraha Berriga</t>
  </si>
  <si>
    <t>Hawlaha Guud (kiro)</t>
  </si>
  <si>
    <t>W/Macdanta</t>
  </si>
  <si>
    <t>W/R/Miyiga</t>
  </si>
  <si>
    <t>iIbka Baasaaboorada</t>
  </si>
  <si>
    <t>Iibka Hantida  Dawladda</t>
  </si>
  <si>
    <t>Daabacaada Lacagta</t>
  </si>
  <si>
    <t>2% G/ Bariga</t>
  </si>
  <si>
    <t>Gudiga Mihnadlayaaha caafimaadka</t>
  </si>
  <si>
    <t>Miis.2016</t>
  </si>
  <si>
    <t>Miis. 2016</t>
  </si>
  <si>
    <t>Miis 2016</t>
  </si>
  <si>
    <t>Miis .2016</t>
  </si>
  <si>
    <t>Mushaharka Sh.aan J/ahayn</t>
  </si>
  <si>
    <t>Mushaharka Shaqaalaha aan joogtada ahyn</t>
  </si>
  <si>
    <t>kh.xafiiska qurbejooga</t>
  </si>
  <si>
    <t>ururinta iyo dabagalka taariikhda halganki SNM</t>
  </si>
  <si>
    <t>Kh.ciyaaraha ( tiimka Wasaarada)</t>
  </si>
  <si>
    <t>Biilasha taagan (hadhaaga Gaadhiga W/kuxigeenka)</t>
  </si>
  <si>
    <t>dhismaha goobaha kalunka</t>
  </si>
  <si>
    <t>kharashka ciyaaraha (Teamka Wasarada)</t>
  </si>
  <si>
    <t>kharashka Ladagaalanka Ayaxa</t>
  </si>
  <si>
    <t>Dhismaha Hoostada Cagafyada</t>
  </si>
  <si>
    <t>kharashka kormeerka dugsiyada</t>
  </si>
  <si>
    <t>kharashka Wacyigelinta</t>
  </si>
  <si>
    <t>Gunnada lataliyeyaal</t>
  </si>
  <si>
    <t>kh.dhiirigalinta</t>
  </si>
  <si>
    <t>Hay'adda Diiwaanka Sakada</t>
  </si>
  <si>
    <t>Biilasha Taagan( ibraahin yey)</t>
  </si>
  <si>
    <t>Kharashka Nashqadeynta Magaaloyinka</t>
  </si>
  <si>
    <t>Kharashka Ciyaaraha Teamka Wasarada</t>
  </si>
  <si>
    <t>Iibsiga Gaadiidka ( Dabdamis)</t>
  </si>
  <si>
    <t>dhismaha Madaarka Burco</t>
  </si>
  <si>
    <t>Iibsiga Alaabta  (Stationery)</t>
  </si>
  <si>
    <t>Kharashka Tirikoobka Shaqaalaha Ajanabiga</t>
  </si>
  <si>
    <t>Iibsiga Gaadiidka &amp; Mishiinadda</t>
  </si>
  <si>
    <t>dhisamaha Garoonka Timacade</t>
  </si>
  <si>
    <t>Dhiirigelin</t>
  </si>
  <si>
    <t>Dhismaha Xafiiska Qandarasyada</t>
  </si>
  <si>
    <t>Kharashka Hawlaha Qaxontiga</t>
  </si>
  <si>
    <t>Guno Lataliye</t>
  </si>
  <si>
    <t>Kharashka Wacyigelinta</t>
  </si>
  <si>
    <t>Kharashka sameynta Shurucda (one time)</t>
  </si>
  <si>
    <t>Dhiirigelinta shaqalaha</t>
  </si>
  <si>
    <t>242 Hay'adda Diiwanka Sakada</t>
  </si>
  <si>
    <t>Dhismaha Garoonka Shulaac Stadium</t>
  </si>
  <si>
    <t>Dhismaha Library Berbera</t>
  </si>
  <si>
    <t>Dhismaha Library Hargeisa</t>
  </si>
  <si>
    <t>Dhismaha Xafiiska Garyaqanka</t>
  </si>
  <si>
    <t>Dhismaha Xafiiska Hay'adda</t>
  </si>
  <si>
    <t>Dhismaha Xafiiska Wasaarada</t>
  </si>
  <si>
    <t xml:space="preserve">Dhismaha Xafiiska Wasaarada </t>
  </si>
  <si>
    <t>iibsiga Gaadiidka</t>
  </si>
  <si>
    <t>Qalabaka Boosaha &amp; Isgaadhsiinta ( one time)</t>
  </si>
  <si>
    <t>Iibsiga Wargeysyad &amp; Bugaagta &amp; Dabacada Manj</t>
  </si>
  <si>
    <t>Kharashka Sahaminta Biyaha</t>
  </si>
  <si>
    <t>Iibsiga  Doonyaha</t>
  </si>
  <si>
    <t>Kharashka Dhiirigelinta Shaqaalaha</t>
  </si>
  <si>
    <t>Bar. Hawlaha Shaqo ( Consumer Price Index)</t>
  </si>
  <si>
    <t>Iibsiga Handida Kale ( Mishiinka Macdanta)</t>
  </si>
  <si>
    <t>Gaadiidka &amp; Mishiinad ( Cagacagaf+ 2 Surf)</t>
  </si>
  <si>
    <t>Kharashka Dhiirigelinta</t>
  </si>
  <si>
    <t>Iibsiga Qalabka Xafiisyada</t>
  </si>
  <si>
    <t>Dhismaha Xarunta Wasaaradda.</t>
  </si>
  <si>
    <t>iibsiga Qalabka Fanaaninta</t>
  </si>
  <si>
    <t>KH. Gaarka ah ( 18 May &amp; 26 June Fananin + Saxafad)</t>
  </si>
  <si>
    <t>Kharashka wacyigelinta</t>
  </si>
  <si>
    <t>Kharashka horumerinta IT-ga</t>
  </si>
  <si>
    <t>Kharashka Dhirigelinta</t>
  </si>
  <si>
    <t>Daryeelka Xafiisyadda &amp; Guryaha (Gobolada)</t>
  </si>
  <si>
    <t>Iibsiga Hant. kale ( Qalabka Sh.badhka Xolaha)</t>
  </si>
  <si>
    <t>Kharashka Manaahijta</t>
  </si>
  <si>
    <t>Kharashka Cilmi Baadhista</t>
  </si>
  <si>
    <t>Dhismaha Xafiisyada Gobolada</t>
  </si>
  <si>
    <t>Mashruuca Biyo gelinta Wajaale ( Botor)</t>
  </si>
  <si>
    <t>Kharashka Horumarinta IT ga &amp; Sameynta ID-Cards</t>
  </si>
  <si>
    <t>Saxaafada, Wacyigelinta iyo Wargeysyada wasaarada</t>
  </si>
  <si>
    <t>Kaalmada Dalada Naafada Qaranka</t>
  </si>
  <si>
    <t>Kharashka  Ciyaaraha Kobka Gobolada</t>
  </si>
  <si>
    <t>Iibsiga Qalabka Ciidanka Booliska</t>
  </si>
  <si>
    <t>Marti &amp; Munaasibadaha + Malinta Shuhadada</t>
  </si>
  <si>
    <t>kharashka Gaarka ah</t>
  </si>
  <si>
    <t>Kaalmada Gudiga Wanagfarista &amp; Xuman rebida</t>
  </si>
  <si>
    <t>Kharashka Xafiiska M/Xigeenka</t>
  </si>
  <si>
    <t>Kharashka  Xafiiska Wasiiru-dawlaha G/Bari</t>
  </si>
  <si>
    <t>Kharashka Xafiiska Samafalka Madaxtoyada</t>
  </si>
  <si>
    <t>Kharashka Xafiiska Xidhidhka Rashinka Qaranka</t>
  </si>
  <si>
    <t>Kh. Xafiis La dagaalanka  Budhcad badeedka</t>
  </si>
  <si>
    <t>Kharashka Xafiiska PFM-KA</t>
  </si>
  <si>
    <t>Hawl-gabka Shaqaalaha</t>
  </si>
  <si>
    <t>Kharashka Adeega Shaqaalaha</t>
  </si>
  <si>
    <t>kharashka Adeega Shaqaalaha</t>
  </si>
  <si>
    <t>Bixinta Deymaha Qaranka</t>
  </si>
  <si>
    <t>Bixinta Deynta Qaranka</t>
  </si>
  <si>
    <t>Dib U Bixinta Deynta Qaranka Gudaha</t>
  </si>
  <si>
    <t xml:space="preserve">iibsiga Gaadiidka </t>
  </si>
  <si>
    <t>Dhis.Xafiisyadda</t>
  </si>
  <si>
    <t>Iibsiga Qalabka Xafisyada</t>
  </si>
  <si>
    <t xml:space="preserve">Dhis.Xafiisyadda </t>
  </si>
  <si>
    <t xml:space="preserve">Iibsiga Qalabka Xafiisyada </t>
  </si>
  <si>
    <t xml:space="preserve">Gaadiidka </t>
  </si>
  <si>
    <t>Gaadiidka ( Xafiiska ICT)</t>
  </si>
  <si>
    <t>Sub-total</t>
  </si>
  <si>
    <t>Kalm. Hosp. Dhimirada, Harg, Burco, Berbera &amp; Sahan</t>
  </si>
  <si>
    <t>Kalmooyinka Jaamacadaha</t>
  </si>
  <si>
    <t>Kaal. Deeqaha waxbarashada ardayda Jaam.</t>
  </si>
  <si>
    <t xml:space="preserve">Kaalmada Vet Board and Association </t>
  </si>
  <si>
    <t>Kaalmada Dawan</t>
  </si>
  <si>
    <t>Wareejimaha Lacagaha aan Deeqaha ahyn</t>
  </si>
  <si>
    <t>Daryeelka Wershadaha</t>
  </si>
  <si>
    <t>Iib. H/kale( Qalabka Wadooyinka Dawladda Hoose Hargeysa)</t>
  </si>
  <si>
    <t>Iib. H/kale ( Qalabka Badhida Cuntada &amp; Dawo)</t>
  </si>
  <si>
    <t>Kaalmada Ururka Saxafiyiinta Somaliland (SOLJA)</t>
  </si>
  <si>
    <t>Dayactirka Masaajidada( 50 million Masajidka Wasarada)</t>
  </si>
  <si>
    <t>Feega Jamaacadaha</t>
  </si>
  <si>
    <t>Hay'adda W/Qabadka Miinada (SMAC)</t>
  </si>
  <si>
    <t>117- HAY'ADDA WAXKA QABADKA MIINADA &amp; WALXAHA QARXA( SMAC)</t>
  </si>
  <si>
    <t>116- CIIDANKA DAB-DEMISKA QARANKA SOMALILAND</t>
  </si>
  <si>
    <t>Gunno lataliyayaal ( Gudida Dab-demiska)</t>
  </si>
  <si>
    <t xml:space="preserve"> Dirayska ( Fire-fighting Uniform) onetime</t>
  </si>
  <si>
    <t>Qalabka Xafiisyadda &amp; Guryaha. Onetime</t>
  </si>
  <si>
    <t>Qalabaka Boosaha &amp; Isgaadhsiinta. Onetime</t>
  </si>
  <si>
    <t>Ciidanka Dab-Demiska Qaranka Somaliland</t>
  </si>
  <si>
    <t>Dhismaha Hantida kale( Qodista Riggaga)</t>
  </si>
  <si>
    <t>Kharashka Ciyaaraha ( Teamka Wasaarada)</t>
  </si>
  <si>
    <t>Kharashka Xisaab-Xidhka ( Waaxda Maamulka)</t>
  </si>
  <si>
    <t xml:space="preserve">Iibsiga Qalabka ciidanka Booliska </t>
  </si>
  <si>
    <t>Kharashka Xafiiska Xisaabadka Guud</t>
  </si>
  <si>
    <t>Kharashka Gaarka</t>
  </si>
  <si>
    <t>Kharashka Cusbitaalka Hargeysa</t>
  </si>
  <si>
    <t>Kharashka Cisbitaalka Sheekh</t>
  </si>
  <si>
    <t>Kharashka  Hospitalka ceerigaabo</t>
  </si>
  <si>
    <t>Daynta Gudaha</t>
  </si>
  <si>
    <t>Biilasha Taagan( Mustafe Xusen Dahir)</t>
  </si>
  <si>
    <t>dhismayasha</t>
  </si>
  <si>
    <t>Dhismayasha</t>
  </si>
  <si>
    <t>Daabacada Liisamada Gaadiidka ee Lafta ah</t>
  </si>
  <si>
    <t>Mushaharka (Naafada Booliiska+ Naafo cusub)</t>
  </si>
  <si>
    <t>iibsiga Dooniyaha Ciidanka</t>
  </si>
  <si>
    <t>Biilasha taagan( Deynta Bank)</t>
  </si>
  <si>
    <t>Kaalmada Ururka Qareenada</t>
  </si>
  <si>
    <t>Keydka Qaranka</t>
  </si>
  <si>
    <t>kalm Dugs. Agoomaha Har.Gab.Burco. Borama</t>
  </si>
  <si>
    <t>Barmijyada Hawlaha Shaqo</t>
  </si>
  <si>
    <t>Bixinta Deynta</t>
  </si>
  <si>
    <t>Biilasha Taagan ( Deynta Bank ga)</t>
  </si>
  <si>
    <t>kabka</t>
  </si>
  <si>
    <t>Kabka</t>
  </si>
  <si>
    <t>Dhismaha Terminal-ka dekeda berbera iyo Rugta Ganacsiga</t>
  </si>
  <si>
    <t>iibsiga hantidda kale ( Qalabka caafimadka)</t>
  </si>
  <si>
    <t>Ciidanka Deb-demiska Qaranka</t>
  </si>
  <si>
    <t xml:space="preserve">Hay'dd.Miin. &amp; wal. Qarxa( SMAC) </t>
  </si>
  <si>
    <t>Dhismayaasha.</t>
  </si>
  <si>
    <t>Kharashka Diiwangalinta Hantida  guurta &amp; Maguurtada</t>
  </si>
  <si>
    <t>Hay'adda Diiwanka Sakada</t>
  </si>
  <si>
    <t xml:space="preserve">Kabka </t>
  </si>
  <si>
    <t>Gunno  lataliye</t>
  </si>
  <si>
    <t>Hay'adda Waxka Qabadka Miinada &amp; Walxaha Qarxa(SMAC)</t>
  </si>
  <si>
    <t>Xafiiska Diiwanka Sakada</t>
  </si>
  <si>
    <t>Mushaharka (Naafada Qaranka)</t>
  </si>
  <si>
    <t>Kalmadd Machadka Tababarka Shaqaalaha CSI</t>
  </si>
  <si>
    <t>021 GOLAHA GUURTIDDA</t>
  </si>
  <si>
    <t>051 XEER-ILAALINTA GUUD EE  QARANKA</t>
  </si>
  <si>
    <t>061 HAY'ADDA SHAQAALAHA DAWLADA</t>
  </si>
  <si>
    <t>081 WASAARADDA  MADAXTOOYADA</t>
  </si>
  <si>
    <t>085 JIMCIYADA MUJAAHIDIINTA SOOYAAL</t>
  </si>
  <si>
    <t>111 WASAARADDA ARRIMAHA GUDAHA</t>
  </si>
  <si>
    <t>114-HAY'ADDA MIINOSAARKA QARANKA</t>
  </si>
  <si>
    <t>232 KOMISHANKA QARANKA MIHNADLEYDA CAAFIMAADKA</t>
  </si>
  <si>
    <t>Miis.2017</t>
  </si>
  <si>
    <t>Miis. 2017</t>
  </si>
  <si>
    <t>Miis 2017</t>
  </si>
  <si>
    <t>Miis .2017</t>
  </si>
  <si>
    <t xml:space="preserve">Daryeelka Dugsiyadda iyo Jaamicadaha </t>
  </si>
  <si>
    <t xml:space="preserve">Daryeelka Xafiisyada &amp; Guryaha </t>
  </si>
  <si>
    <t>Daryeelka Madaarada.</t>
  </si>
  <si>
    <t>Daryeelka Madaarada</t>
  </si>
  <si>
    <t>Bixinta daymaha qaranka</t>
  </si>
  <si>
    <t>Biilasha taagan (shabac spare parts)</t>
  </si>
  <si>
    <t xml:space="preserve">Iibsiga Gaadiidka iyo Mishiinada </t>
  </si>
  <si>
    <t>Barnaamijyada H.Shaqo ee Legal Draft</t>
  </si>
  <si>
    <t>Dhismaha VTC</t>
  </si>
  <si>
    <t>Dhismaha Hoolka shirarka</t>
  </si>
  <si>
    <t>Gaadiidka &amp; Mishiinada (W.dawlaha)</t>
  </si>
  <si>
    <t xml:space="preserve">Dhismaha Musiyamka </t>
  </si>
  <si>
    <t xml:space="preserve">Iibsiga hantida kale ( qalabka jeelasha </t>
  </si>
  <si>
    <t>Iibsiga Saanada (One time)</t>
  </si>
  <si>
    <t>Kh.B. Shaqo ee Qaybta sharecada Islaamka</t>
  </si>
  <si>
    <t>Kharashyada yar yar</t>
  </si>
  <si>
    <t>Bixinta daymaha</t>
  </si>
  <si>
    <t>Biilasha taagan (Ina dable)</t>
  </si>
  <si>
    <t xml:space="preserve">Iibsiga Hantida kale (Qalabka Passport) </t>
  </si>
  <si>
    <t>Isticmaalka Nalka iyo Biyaha</t>
  </si>
  <si>
    <t>Dhismaha Xarunta Burco</t>
  </si>
  <si>
    <t>Dhismaha Xarunta Borama</t>
  </si>
  <si>
    <t>Dhismaha Xarunta Wajale</t>
  </si>
  <si>
    <t>Kh. Gaarka ah (National Dev't Plan) (one time)</t>
  </si>
  <si>
    <t>D. Hantidda kale ee Dawladda (Qaboojiyeyal)</t>
  </si>
  <si>
    <t>Dhismaha Shaybaadhka Lab. Xoolaha</t>
  </si>
  <si>
    <t>Kharashka Ciyaaraha (Teamka wasaarada)</t>
  </si>
  <si>
    <t>B.Hawlaha Shaqo</t>
  </si>
  <si>
    <t>Dhismaha Xafiiska</t>
  </si>
  <si>
    <t>Isticmaalka Biyaha Cusbitalka Harg.</t>
  </si>
  <si>
    <t>Dhiirigalin</t>
  </si>
  <si>
    <t>Kharashka Ciyaaraha (Teamka Wasaarada)</t>
  </si>
  <si>
    <t>Kharashka Wacyigalinta Caafimaadka</t>
  </si>
  <si>
    <t>Kharashka Cusbitaalka M.Sheekh</t>
  </si>
  <si>
    <t>Dhismaha Hospitalka Hargaysa ( Umulaha)</t>
  </si>
  <si>
    <t>Dhismaha C.Burco</t>
  </si>
  <si>
    <t>kh.dhiirigalinta mufasiriinta iyo Shaqaalaha</t>
  </si>
  <si>
    <t>Bar H. Shaqo ee qaybinta sakada</t>
  </si>
  <si>
    <t>Tababarada</t>
  </si>
  <si>
    <t>Kharashka ciyaaraha (Teamka wasaarada)</t>
  </si>
  <si>
    <t>Bar. Hawalaha Shaqo ee Tirakoobka naafada</t>
  </si>
  <si>
    <t>Dhismaha xafiiska Wasaarada &amp; Ceerigaabo</t>
  </si>
  <si>
    <t>Daryeelka Hantidda kale ee Dawladda.(Garonada)</t>
  </si>
  <si>
    <t>Kharashka Doorashooyinka</t>
  </si>
  <si>
    <t xml:space="preserve">Gunno Hawleed </t>
  </si>
  <si>
    <t>Mushaharka Shaqalaha Hay. Xidh. Raashinka</t>
  </si>
  <si>
    <t>Mushaharka Sh. ICT</t>
  </si>
  <si>
    <t>Mushaharka Sh. J. Baashista Xasuuqa</t>
  </si>
  <si>
    <t>kharashka nabadgalyada</t>
  </si>
  <si>
    <t xml:space="preserve">Daryeelka dugsiyada </t>
  </si>
  <si>
    <t>Bixinta Daymaha Qaranka</t>
  </si>
  <si>
    <t>Mushaharka Sh. Aan joogto ahayn</t>
  </si>
  <si>
    <t>Isticmaalka Nalka &amp; Biyaha iyo X. Agomaha Harg.</t>
  </si>
  <si>
    <t>Bixinta Daynta Qaranka</t>
  </si>
  <si>
    <t>kaaalmada Uuruka Dhakhaatiirta</t>
  </si>
  <si>
    <t>Barnaamujyada hawlaha shaqo</t>
  </si>
  <si>
    <t>Gaadiidka (G. Agasimaha iyo Mini Bus Bosta)</t>
  </si>
  <si>
    <t>Kharashka Cilmibaadhista</t>
  </si>
  <si>
    <t>Iibsiga Hantida kale(Qalabka Cusbitalka Burco)</t>
  </si>
  <si>
    <t>Bixinta daynta qaranka</t>
  </si>
  <si>
    <t>Dhismayasha Boodhinka schoolka Qorilugad</t>
  </si>
  <si>
    <t>Bixinta Deymaha qaranka</t>
  </si>
  <si>
    <t>Kh. Banaynta Madarka Burco (Busaad siciid)</t>
  </si>
  <si>
    <t>Kh.Banaynta dhulka Wasarada iyo Cawlcalinta</t>
  </si>
  <si>
    <t>Biilasha Taagan (haboon contruction 210,000,000)</t>
  </si>
  <si>
    <t>Biilasha Taagan (Daynta Mansh allah iyo Banka)</t>
  </si>
  <si>
    <t>Iibsiga Hantida kale(Qalabka Cusbitalka Hargaysa)</t>
  </si>
  <si>
    <t>sub-total</t>
  </si>
  <si>
    <t>Kabka Miisaaniyadda Qiimaha raashinka</t>
  </si>
  <si>
    <t>Dhismaha Wasaaradda (Dhamaystir)</t>
  </si>
  <si>
    <t>magaha</t>
  </si>
  <si>
    <t>Mashruuca Dhiraynta</t>
  </si>
  <si>
    <t>451 WASAARADA DHAQANKA IYO DALXIISKA</t>
  </si>
  <si>
    <t xml:space="preserve">Dhismayaasha Xafiisyada </t>
  </si>
  <si>
    <t>Wasaarada Dhaqanka iyo Dalxiiska</t>
  </si>
  <si>
    <t>kh.Xaf.Derejo Bixinta Ciidanka</t>
  </si>
  <si>
    <t>Bilasha Taagan</t>
  </si>
  <si>
    <t xml:space="preserve">Ijaarka </t>
  </si>
  <si>
    <t>kh.Gaarkaa (Ciidanka ilaalada Shidalka OPU)</t>
  </si>
  <si>
    <t>iibs iga qalabka xafiisyada iyo Gur (Computers)</t>
  </si>
  <si>
    <t>Kaalmada Deeqaha Ardayda Jaamacadaha</t>
  </si>
  <si>
    <t>Kaalmooyinka</t>
  </si>
  <si>
    <t>kaalmada jaamacada badda (Maritime)</t>
  </si>
  <si>
    <t>Iibsiga Hantida kale (Mishiinka shaybaadhka)</t>
  </si>
  <si>
    <t>Kaalmada Saryan Museum</t>
  </si>
  <si>
    <t>Daabacaada Buuga dhaqdhaqaaqa Gaadiidka</t>
  </si>
  <si>
    <t>Iibsiga Gaadiidka( Amblunces)</t>
  </si>
  <si>
    <t>Dhismaha Guryahah Macalimiinta (G/M/Jeex)</t>
  </si>
  <si>
    <t>Biilasha Taagan (Gunno Baaqatay)</t>
  </si>
  <si>
    <t>Gaadiidka &amp; Mishiinadda.(G/Xigeenka0</t>
  </si>
  <si>
    <t>Biilasha taagan (mahdi xaaji ducaale 170milyan)</t>
  </si>
  <si>
    <t>Kaalmada Dalada Dhalinyarada Somaliland (Sonyo)</t>
  </si>
  <si>
    <t>Kharashka Guud ee Miisaaniyadda Sannadka 2017.</t>
  </si>
  <si>
    <t>Sannadka 2017</t>
  </si>
  <si>
    <t>Raashinka iyo timirta ramadnta Naafada Booliiska 772</t>
  </si>
  <si>
    <t>B. taagan($28,954 H.Const $73,000 H.roga H Staduim</t>
  </si>
  <si>
    <t xml:space="preserve">091 WASAARADDA ARIMAHA DIBADDA </t>
  </si>
  <si>
    <t>W.Warfaafinta iyo Wacyigelinta.</t>
  </si>
  <si>
    <t>Wasaaradda Ciyaaraha iyo Dhalinyarada.</t>
  </si>
  <si>
    <t>Hay'adda Dhawrista Tayada</t>
  </si>
  <si>
    <t xml:space="preserve">311 WASAARADA CIYAARAHA IYO DHALINYARADA </t>
  </si>
  <si>
    <t>121 WASAARADA W/FAAFINTA IYO WACYIGALINTA</t>
  </si>
  <si>
    <t>Barnaamijyada Hawlaha Shaqo</t>
  </si>
  <si>
    <t>Gunno Hawleed + lataliyayaal</t>
  </si>
  <si>
    <t>Kharashka Banaynta iyo Lacagcelinta Madarka Burco</t>
  </si>
  <si>
    <t>Iibsiga Hantida kale Rooga Berbera</t>
  </si>
  <si>
    <t>Dhismaha Librariga Borama</t>
  </si>
  <si>
    <t xml:space="preserve">Dhismaha Xafiiska </t>
  </si>
  <si>
    <t>Kharashka Saxaafada (Xafiiska Afhayeenka)</t>
  </si>
  <si>
    <t xml:space="preserve">Dhismaha Jeelka Burco (Third Face)) </t>
  </si>
  <si>
    <t>Dhismaha Jeelka Boorama (Second Face)</t>
  </si>
  <si>
    <t>Dhismaha jeelka Gabiley (first Face)</t>
  </si>
  <si>
    <t>Kharashka Gaarkaa</t>
  </si>
  <si>
    <t>Biilasha taagan (Qarbooshe)</t>
  </si>
  <si>
    <t>Cashuuraha</t>
  </si>
  <si>
    <t>Difference</t>
  </si>
  <si>
    <t>Old Codes</t>
  </si>
  <si>
    <t>New Codes</t>
  </si>
  <si>
    <t>Hadhaaga Khasnadda Dawladda, 31-Dec,2015</t>
  </si>
  <si>
    <t>Cashuurta Macaashka &amp; Faaiidada</t>
  </si>
  <si>
    <t>Cashuurta Macaashka Shaqaalaha</t>
  </si>
  <si>
    <t>Cashuurta Ogolaanshaha Isticmaalka Alaabta &amp; Adeega</t>
  </si>
  <si>
    <t>Dakhliga ruqsadaha Biyaha Bada</t>
  </si>
  <si>
    <t xml:space="preserve">Dakhliga Ruqsadaha Beeraha </t>
  </si>
  <si>
    <t>Cashuuraha Ganacsiga Caalamiga ah &amp; Isdhaafsiga</t>
  </si>
  <si>
    <t>Export Tax (Cashuurta Dhoofinta)</t>
  </si>
  <si>
    <t>Cashuurta Dhoofka Xoolaha</t>
  </si>
  <si>
    <t>Cash/Socdaalka Baabuurta</t>
  </si>
  <si>
    <t>Cashuurta DulsaarkaDhoofinta Xoolaha (L/S/Levy)</t>
  </si>
  <si>
    <t>Cashuurta Dulsaarka shidaalka</t>
  </si>
  <si>
    <t>Cashuurta Dulsaarka liisamada Gaadiidka</t>
  </si>
  <si>
    <t>Cashuurta Dulsaarka wadooyinka (Road Levy)</t>
  </si>
  <si>
    <t>Cashuurta 2% Gobolada Bariga</t>
  </si>
  <si>
    <t>Dakh/Gegeda Diyaaradaha &amp; Ajuurada</t>
  </si>
  <si>
    <t>Dakhliga Kirada Dekeda</t>
  </si>
  <si>
    <t>Dakhliga Ogolaanshaha Maalgashiga Dekeda ( Entry Ticket)</t>
  </si>
  <si>
    <t>Fiiga Gelista iyo Bixista Madaarada (Ajnabiga)</t>
  </si>
  <si>
    <t>Embarcation Fee for foreigners</t>
  </si>
  <si>
    <t>Dakhliga Mushaaxida Hawada ( Navigation Fee)</t>
  </si>
  <si>
    <t xml:space="preserve"> Iibsiga xadhiga Jeelasha</t>
  </si>
  <si>
    <t>Wareejimaha aan deeqaha ahyn</t>
  </si>
  <si>
    <t>Saamiga Kabka Dawladaha Hoose</t>
  </si>
  <si>
    <t>Dakhliyada Kale</t>
  </si>
  <si>
    <t>Dakhliga gadida hantida Maguurta ah</t>
  </si>
  <si>
    <t>GOOBTA</t>
  </si>
  <si>
    <t>AMOUNT</t>
  </si>
  <si>
    <t>PERCENTAGE</t>
  </si>
  <si>
    <t>Hadhaaga Khasnadda Dawladda Dec,31,2015</t>
  </si>
  <si>
    <t>W.Biyaha</t>
  </si>
  <si>
    <t>/Macdanta</t>
  </si>
  <si>
    <t>W/Duulista &amp; Hawada</t>
  </si>
  <si>
    <t>Dekeda Berbera</t>
  </si>
  <si>
    <t>Iibka Hantida Dawlada</t>
  </si>
  <si>
    <t>Daabacadda Lacagta</t>
  </si>
  <si>
    <t>2% gobolada Bariga</t>
  </si>
  <si>
    <t>Dakh. Ogolanshaha M. Dekeda (Entry Ticket)</t>
  </si>
  <si>
    <t>Hargeysa Airport</t>
  </si>
  <si>
    <t>Berbera airport</t>
  </si>
  <si>
    <t>Wajaale</t>
  </si>
  <si>
    <t>Hadhaaga Khasnada  Dec,31,2015</t>
  </si>
  <si>
    <t xml:space="preserve">Sub-Total </t>
  </si>
  <si>
    <t>Ibka Baasaaboorada</t>
  </si>
  <si>
    <t>Dakh. Ogolanshaha Maalgashiga Dekeda (Entry Ticket)</t>
  </si>
  <si>
    <t>USD</t>
  </si>
  <si>
    <t>Gunno la taliye</t>
  </si>
  <si>
    <t>Deeqaha Baanka Aduunka</t>
  </si>
  <si>
    <t>Mashruuca CSSP</t>
  </si>
  <si>
    <t>Mashaariicda Baanka Aduunka</t>
  </si>
  <si>
    <t xml:space="preserve">Mashruuca Score </t>
  </si>
  <si>
    <t>Mashruuca Walp Project</t>
  </si>
  <si>
    <t>xaqsiinta shaqaalaha Dekeda berbera</t>
  </si>
  <si>
    <t>Dhismaha Guriga Martida Borama</t>
  </si>
  <si>
    <t>Dhismaha Xarunta Gobolka Togdheer</t>
  </si>
  <si>
    <t>Iibsiga Qalabka ciidamada</t>
  </si>
  <si>
    <t>Biilasha Taagan (Soltelco, 240m)</t>
  </si>
  <si>
    <t>Kabka Banka</t>
  </si>
  <si>
    <t>Deeqda Baanka Aduunka</t>
  </si>
  <si>
    <t>Deeqda Hay'addaha Caalamiga ah</t>
  </si>
  <si>
    <t>Mashruuca PFM 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</si>
</sst>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162">
    <font>
      <sz val="10"/>
      <name val="Times New Roman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4"/>
      <name val="Rockwell"/>
      <family val="1"/>
    </font>
    <font>
      <b/>
      <sz val="12"/>
      <name val="CG Omega"/>
      <family val="2"/>
    </font>
    <font>
      <sz val="12"/>
      <name val="CG Omega"/>
      <family val="2"/>
    </font>
    <font>
      <sz val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name val="CG Omega"/>
      <family val="2"/>
    </font>
    <font>
      <b/>
      <sz val="8"/>
      <name val="CG Omega"/>
      <family val="2"/>
    </font>
    <font>
      <b/>
      <sz val="10"/>
      <name val="CG Omeg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CG Omega"/>
      <family val="2"/>
    </font>
    <font>
      <sz val="10"/>
      <name val="CG Omega"/>
      <family val="2"/>
    </font>
    <font>
      <b/>
      <sz val="9"/>
      <name val="Times New Roman"/>
      <family val="1"/>
    </font>
    <font>
      <sz val="18"/>
      <name val="Arial Narrow"/>
      <family val="2"/>
    </font>
    <font>
      <sz val="14"/>
      <name val="CG Omega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20"/>
      <color indexed="8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14"/>
      <name val="Arial Narrow"/>
      <family val="2"/>
    </font>
    <font>
      <sz val="12"/>
      <name val="Times New Roman"/>
      <family val="1"/>
    </font>
    <font>
      <sz val="22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8"/>
      <name val="CG Omega"/>
      <family val="2"/>
    </font>
    <font>
      <b/>
      <sz val="20"/>
      <name val="Arial Narrow"/>
      <family val="2"/>
    </font>
    <font>
      <sz val="14"/>
      <name val="Times New Roman"/>
      <family val="1"/>
    </font>
    <font>
      <sz val="22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0"/>
      <name val="CG Omega"/>
      <family val="2"/>
    </font>
    <font>
      <sz val="20"/>
      <name val="Arial Narrow"/>
      <family val="2"/>
    </font>
    <font>
      <sz val="14"/>
      <color theme="1"/>
      <name val="Times New Roman"/>
      <family val="1"/>
    </font>
    <font>
      <sz val="18"/>
      <name val="Times New Roman"/>
      <family val="1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Arial Narrow"/>
      <family val="2"/>
    </font>
    <font>
      <b/>
      <sz val="16"/>
      <color indexed="12"/>
      <name val="CG Omega"/>
      <family val="2"/>
    </font>
    <font>
      <sz val="16"/>
      <color indexed="12"/>
      <name val="Times New Roman"/>
      <family val="1"/>
    </font>
    <font>
      <sz val="20"/>
      <name val="Times New Roman"/>
      <family val="1"/>
    </font>
    <font>
      <sz val="1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2"/>
      <color theme="1"/>
      <name val="Arial Narrow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Franklin Gothic Medium"/>
      <family val="2"/>
    </font>
    <font>
      <b/>
      <sz val="16"/>
      <name val="Franklin Gothic Medium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 Black"/>
      <family val="2"/>
    </font>
    <font>
      <sz val="9"/>
      <color theme="1"/>
      <name val="Arial Black"/>
      <family val="2"/>
    </font>
    <font>
      <sz val="9"/>
      <name val="Arial Black"/>
      <family val="2"/>
    </font>
    <font>
      <b/>
      <sz val="20"/>
      <color theme="1"/>
      <name val="Arial Narrow"/>
      <family val="2"/>
    </font>
    <font>
      <b/>
      <i/>
      <sz val="20"/>
      <name val="Arial Narrow"/>
      <family val="2"/>
    </font>
    <font>
      <sz val="10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20"/>
      <name val="Arial Narrow"/>
      <family val="2"/>
    </font>
    <font>
      <sz val="11"/>
      <color rgb="FF9C6500"/>
      <name val="Calibri"/>
      <family val="2"/>
      <scheme val="minor"/>
    </font>
    <font>
      <b/>
      <sz val="17"/>
      <name val="Arial Narrow"/>
      <family val="2"/>
    </font>
    <font>
      <sz val="17"/>
      <name val="Arial Narrow"/>
      <family val="2"/>
    </font>
    <font>
      <b/>
      <sz val="17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Arial Narrow"/>
      <family val="2"/>
    </font>
    <font>
      <b/>
      <u/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u/>
      <sz val="14"/>
      <name val="Arial Narrow"/>
      <family val="2"/>
    </font>
    <font>
      <b/>
      <u val="singleAccounting"/>
      <sz val="14"/>
      <color theme="1"/>
      <name val="Arial Narrow"/>
      <family val="2"/>
    </font>
    <font>
      <u val="singleAccounting"/>
      <sz val="14"/>
      <color theme="1"/>
      <name val="Arial Narrow"/>
      <family val="2"/>
    </font>
    <font>
      <u val="singleAccounting"/>
      <sz val="14"/>
      <name val="Arial Narrow"/>
      <family val="2"/>
    </font>
    <font>
      <u val="singleAccounting"/>
      <sz val="14"/>
      <color theme="1"/>
      <name val="Calibri"/>
      <family val="2"/>
      <scheme val="minor"/>
    </font>
    <font>
      <u val="singleAccounting"/>
      <sz val="14"/>
      <name val="Calibri"/>
      <family val="2"/>
      <scheme val="minor"/>
    </font>
    <font>
      <b/>
      <u val="singleAccounting"/>
      <sz val="14"/>
      <name val="Arial Narrow"/>
      <family val="2"/>
    </font>
    <font>
      <b/>
      <sz val="22"/>
      <color theme="1"/>
      <name val="Arial Narrow"/>
      <family val="2"/>
    </font>
    <font>
      <sz val="2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20"/>
      <color theme="1"/>
      <name val="Arial Narrow"/>
      <family val="2"/>
    </font>
    <font>
      <b/>
      <sz val="20"/>
      <name val="CG Omega"/>
      <family val="2"/>
    </font>
    <font>
      <sz val="18"/>
      <color theme="1"/>
      <name val="Calibri"/>
      <family val="2"/>
      <scheme val="minor"/>
    </font>
    <font>
      <b/>
      <u/>
      <sz val="18"/>
      <name val="Arial Narrow"/>
      <family val="2"/>
    </font>
    <font>
      <b/>
      <u/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8"/>
      <color theme="1"/>
      <name val="Arial Narrow"/>
      <family val="2"/>
    </font>
    <font>
      <u/>
      <sz val="18"/>
      <name val="Arial Narrow"/>
      <family val="2"/>
    </font>
    <font>
      <u/>
      <sz val="18"/>
      <color theme="1"/>
      <name val="Arial Narrow"/>
      <family val="2"/>
    </font>
    <font>
      <b/>
      <u val="singleAccounting"/>
      <sz val="18"/>
      <color theme="1"/>
      <name val="Arial Narrow"/>
      <family val="2"/>
    </font>
    <font>
      <u val="singleAccounting"/>
      <sz val="18"/>
      <name val="Arial Narrow"/>
      <family val="2"/>
    </font>
    <font>
      <sz val="18"/>
      <name val="Calibri"/>
      <family val="2"/>
      <scheme val="minor"/>
    </font>
    <font>
      <u val="singleAccounting"/>
      <sz val="18"/>
      <name val="Calibri"/>
      <family val="2"/>
      <scheme val="minor"/>
    </font>
    <font>
      <i/>
      <sz val="18"/>
      <color theme="1"/>
      <name val="Arial Narrow"/>
      <family val="2"/>
    </font>
    <font>
      <b/>
      <i/>
      <sz val="18"/>
      <color theme="1"/>
      <name val="Arial Narrow"/>
      <family val="2"/>
    </font>
    <font>
      <b/>
      <u val="singleAccounting"/>
      <sz val="18"/>
      <name val="Arial Narrow"/>
      <family val="2"/>
    </font>
    <font>
      <b/>
      <sz val="26"/>
      <color theme="1"/>
      <name val="Agency FB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20"/>
      <name val="Times New Roman"/>
      <family val="1"/>
    </font>
    <font>
      <b/>
      <sz val="18"/>
      <name val="CG Omega"/>
      <family val="2"/>
    </font>
    <font>
      <b/>
      <sz val="18"/>
      <name val="CG Omega"/>
    </font>
    <font>
      <b/>
      <sz val="24"/>
      <color indexed="8"/>
      <name val="Arial Narrow"/>
      <family val="2"/>
    </font>
    <font>
      <b/>
      <sz val="10"/>
      <name val="CG Omega"/>
    </font>
    <font>
      <b/>
      <u/>
      <sz val="20"/>
      <name val="Arial Narrow"/>
      <family val="2"/>
    </font>
    <font>
      <b/>
      <sz val="20"/>
      <color rgb="FF000000"/>
      <name val="Arial Narrow"/>
      <family val="2"/>
    </font>
    <font>
      <sz val="20"/>
      <color theme="1"/>
      <name val="Calibri"/>
      <family val="2"/>
      <scheme val="minor"/>
    </font>
    <font>
      <b/>
      <u val="singleAccounting"/>
      <sz val="20"/>
      <color rgb="FF000000"/>
      <name val="Arial Narrow"/>
      <family val="2"/>
    </font>
    <font>
      <sz val="20"/>
      <color rgb="FF000000"/>
      <name val="Arial Narrow"/>
      <family val="2"/>
    </font>
    <font>
      <b/>
      <i/>
      <sz val="20"/>
      <color rgb="FF000000"/>
      <name val="Arial Narrow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20"/>
      <color theme="0"/>
      <name val="Calibri"/>
      <family val="2"/>
    </font>
    <font>
      <b/>
      <sz val="20"/>
      <color indexed="10"/>
      <name val="Calibri"/>
      <family val="2"/>
    </font>
    <font>
      <sz val="2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rgb="FF000000"/>
      <name val="Arial"/>
      <family val="2"/>
    </font>
    <font>
      <b/>
      <i/>
      <sz val="22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22"/>
      <color rgb="FF000000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i/>
      <sz val="20"/>
      <color rgb="FF000000"/>
      <name val="Arial"/>
      <family val="2"/>
    </font>
    <font>
      <b/>
      <i/>
      <sz val="2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000000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86" fillId="0" borderId="0" applyFont="0" applyFill="0" applyBorder="0" applyAlignment="0" applyProtection="0"/>
    <xf numFmtId="0" fontId="90" fillId="4" borderId="0" applyNumberFormat="0" applyBorder="0" applyAlignment="0" applyProtection="0"/>
  </cellStyleXfs>
  <cellXfs count="103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5" fillId="0" borderId="0" xfId="0" applyFont="1"/>
    <xf numFmtId="164" fontId="6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2" fillId="0" borderId="0" xfId="1" applyNumberFormat="1" applyFont="1"/>
    <xf numFmtId="164" fontId="19" fillId="0" borderId="1" xfId="1" applyNumberFormat="1" applyFont="1" applyBorder="1"/>
    <xf numFmtId="164" fontId="23" fillId="0" borderId="0" xfId="1" applyNumberFormat="1" applyFont="1"/>
    <xf numFmtId="164" fontId="27" fillId="0" borderId="1" xfId="1" applyNumberFormat="1" applyFont="1" applyBorder="1"/>
    <xf numFmtId="0" fontId="1" fillId="0" borderId="0" xfId="0" applyFont="1"/>
    <xf numFmtId="3" fontId="12" fillId="0" borderId="0" xfId="0" applyNumberFormat="1" applyFont="1" applyAlignment="1">
      <alignment horizontal="right"/>
    </xf>
    <xf numFmtId="0" fontId="36" fillId="0" borderId="0" xfId="0" applyFont="1"/>
    <xf numFmtId="0" fontId="0" fillId="0" borderId="0" xfId="0" applyBorder="1"/>
    <xf numFmtId="164" fontId="39" fillId="0" borderId="1" xfId="1" applyNumberFormat="1" applyFont="1" applyBorder="1"/>
    <xf numFmtId="164" fontId="40" fillId="0" borderId="1" xfId="1" applyNumberFormat="1" applyFont="1" applyBorder="1"/>
    <xf numFmtId="0" fontId="27" fillId="0" borderId="1" xfId="1" applyNumberFormat="1" applyFont="1" applyBorder="1" applyAlignment="1">
      <alignment horizontal="left"/>
    </xf>
    <xf numFmtId="0" fontId="27" fillId="0" borderId="1" xfId="0" applyFont="1" applyBorder="1"/>
    <xf numFmtId="164" fontId="31" fillId="0" borderId="1" xfId="1" applyNumberFormat="1" applyFont="1" applyBorder="1"/>
    <xf numFmtId="164" fontId="31" fillId="0" borderId="1" xfId="1" applyNumberFormat="1" applyFont="1" applyBorder="1" applyAlignment="1">
      <alignment horizontal="left"/>
    </xf>
    <xf numFmtId="164" fontId="37" fillId="0" borderId="1" xfId="1" applyNumberFormat="1" applyFont="1" applyBorder="1"/>
    <xf numFmtId="0" fontId="46" fillId="0" borderId="1" xfId="1" applyNumberFormat="1" applyFont="1" applyBorder="1" applyAlignment="1">
      <alignment horizontal="left"/>
    </xf>
    <xf numFmtId="0" fontId="47" fillId="0" borderId="1" xfId="1" applyNumberFormat="1" applyFont="1" applyBorder="1" applyAlignment="1">
      <alignment horizontal="left"/>
    </xf>
    <xf numFmtId="164" fontId="37" fillId="0" borderId="3" xfId="1" applyNumberFormat="1" applyFont="1" applyBorder="1"/>
    <xf numFmtId="164" fontId="37" fillId="0" borderId="1" xfId="1" applyNumberFormat="1" applyFont="1" applyBorder="1" applyAlignment="1">
      <alignment horizontal="right"/>
    </xf>
    <xf numFmtId="164" fontId="45" fillId="0" borderId="1" xfId="1" applyNumberFormat="1" applyFont="1" applyBorder="1"/>
    <xf numFmtId="164" fontId="9" fillId="0" borderId="1" xfId="1" applyNumberFormat="1" applyFont="1" applyBorder="1"/>
    <xf numFmtId="0" fontId="0" fillId="0" borderId="1" xfId="0" applyBorder="1"/>
    <xf numFmtId="164" fontId="24" fillId="0" borderId="1" xfId="0" applyNumberFormat="1" applyFont="1" applyBorder="1"/>
    <xf numFmtId="164" fontId="24" fillId="0" borderId="1" xfId="1" applyNumberFormat="1" applyFont="1" applyBorder="1"/>
    <xf numFmtId="164" fontId="31" fillId="0" borderId="1" xfId="1" applyNumberFormat="1" applyFont="1" applyBorder="1" applyAlignment="1"/>
    <xf numFmtId="0" fontId="46" fillId="0" borderId="5" xfId="1" applyNumberFormat="1" applyFont="1" applyBorder="1" applyAlignment="1">
      <alignment horizontal="left"/>
    </xf>
    <xf numFmtId="164" fontId="24" fillId="0" borderId="7" xfId="1" applyNumberFormat="1" applyFont="1" applyBorder="1"/>
    <xf numFmtId="164" fontId="31" fillId="0" borderId="7" xfId="1" applyNumberFormat="1" applyFont="1" applyBorder="1"/>
    <xf numFmtId="0" fontId="40" fillId="0" borderId="1" xfId="1" applyNumberFormat="1" applyFont="1" applyBorder="1" applyAlignment="1">
      <alignment horizontal="center"/>
    </xf>
    <xf numFmtId="164" fontId="40" fillId="0" borderId="1" xfId="1" applyNumberFormat="1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164" fontId="40" fillId="0" borderId="1" xfId="1" applyNumberFormat="1" applyFont="1" applyBorder="1" applyAlignment="1">
      <alignment horizontal="center"/>
    </xf>
    <xf numFmtId="0" fontId="47" fillId="0" borderId="5" xfId="1" applyNumberFormat="1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164" fontId="47" fillId="0" borderId="0" xfId="1" applyNumberFormat="1" applyFont="1" applyFill="1" applyBorder="1"/>
    <xf numFmtId="164" fontId="45" fillId="0" borderId="5" xfId="1" applyNumberFormat="1" applyFont="1" applyBorder="1"/>
    <xf numFmtId="0" fontId="37" fillId="0" borderId="1" xfId="0" applyFont="1" applyBorder="1"/>
    <xf numFmtId="0" fontId="37" fillId="0" borderId="5" xfId="0" applyFont="1" applyBorder="1"/>
    <xf numFmtId="164" fontId="37" fillId="0" borderId="5" xfId="0" applyNumberFormat="1" applyFont="1" applyBorder="1"/>
    <xf numFmtId="0" fontId="51" fillId="0" borderId="7" xfId="0" applyFont="1" applyBorder="1"/>
    <xf numFmtId="0" fontId="38" fillId="0" borderId="7" xfId="0" applyFont="1" applyBorder="1"/>
    <xf numFmtId="164" fontId="38" fillId="0" borderId="7" xfId="0" applyNumberFormat="1" applyFont="1" applyBorder="1"/>
    <xf numFmtId="164" fontId="38" fillId="0" borderId="7" xfId="1" applyNumberFormat="1" applyFont="1" applyBorder="1"/>
    <xf numFmtId="0" fontId="33" fillId="0" borderId="1" xfId="1" applyNumberFormat="1" applyFont="1" applyBorder="1" applyAlignment="1">
      <alignment horizontal="center"/>
    </xf>
    <xf numFmtId="164" fontId="33" fillId="0" borderId="1" xfId="1" applyNumberFormat="1" applyFont="1" applyBorder="1" applyAlignment="1">
      <alignment horizontal="left"/>
    </xf>
    <xf numFmtId="164" fontId="33" fillId="0" borderId="1" xfId="1" applyNumberFormat="1" applyFont="1" applyBorder="1" applyAlignment="1">
      <alignment horizontal="center"/>
    </xf>
    <xf numFmtId="164" fontId="33" fillId="0" borderId="3" xfId="1" applyNumberFormat="1" applyFont="1" applyBorder="1" applyAlignment="1">
      <alignment horizontal="center"/>
    </xf>
    <xf numFmtId="0" fontId="50" fillId="0" borderId="0" xfId="0" applyFont="1"/>
    <xf numFmtId="164" fontId="52" fillId="0" borderId="10" xfId="1" applyNumberFormat="1" applyFont="1" applyBorder="1"/>
    <xf numFmtId="164" fontId="45" fillId="0" borderId="0" xfId="1" applyNumberFormat="1" applyFont="1" applyFill="1" applyBorder="1"/>
    <xf numFmtId="164" fontId="0" fillId="0" borderId="0" xfId="0" applyNumberFormat="1" applyBorder="1"/>
    <xf numFmtId="164" fontId="40" fillId="0" borderId="3" xfId="1" applyNumberFormat="1" applyFont="1" applyBorder="1"/>
    <xf numFmtId="164" fontId="40" fillId="0" borderId="0" xfId="1" applyNumberFormat="1" applyFont="1" applyFill="1" applyBorder="1"/>
    <xf numFmtId="164" fontId="37" fillId="0" borderId="1" xfId="1" quotePrefix="1" applyNumberFormat="1" applyFont="1" applyBorder="1"/>
    <xf numFmtId="3" fontId="37" fillId="0" borderId="1" xfId="0" applyNumberFormat="1" applyFont="1" applyBorder="1"/>
    <xf numFmtId="3" fontId="57" fillId="0" borderId="0" xfId="0" applyNumberFormat="1" applyFont="1" applyBorder="1" applyAlignment="1">
      <alignment horizontal="right" vertical="top" wrapText="1"/>
    </xf>
    <xf numFmtId="0" fontId="55" fillId="0" borderId="0" xfId="0" applyFont="1"/>
    <xf numFmtId="0" fontId="24" fillId="0" borderId="1" xfId="0" applyFont="1" applyBorder="1"/>
    <xf numFmtId="164" fontId="24" fillId="0" borderId="1" xfId="1" applyNumberFormat="1" applyFont="1" applyBorder="1" applyAlignment="1">
      <alignment horizontal="left"/>
    </xf>
    <xf numFmtId="164" fontId="24" fillId="0" borderId="1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164" fontId="28" fillId="0" borderId="0" xfId="1" applyNumberFormat="1" applyFont="1"/>
    <xf numFmtId="164" fontId="60" fillId="0" borderId="0" xfId="1" applyNumberFormat="1" applyFont="1"/>
    <xf numFmtId="164" fontId="61" fillId="0" borderId="0" xfId="1" applyNumberFormat="1" applyFont="1"/>
    <xf numFmtId="164" fontId="50" fillId="0" borderId="0" xfId="1" applyNumberFormat="1" applyFont="1"/>
    <xf numFmtId="164" fontId="28" fillId="0" borderId="0" xfId="1" applyNumberFormat="1" applyFont="1" applyAlignment="1">
      <alignment horizontal="center"/>
    </xf>
    <xf numFmtId="164" fontId="0" fillId="0" borderId="0" xfId="1" applyNumberFormat="1" applyFont="1"/>
    <xf numFmtId="164" fontId="24" fillId="0" borderId="1" xfId="1" applyNumberFormat="1" applyFont="1" applyBorder="1" applyAlignment="1"/>
    <xf numFmtId="164" fontId="24" fillId="0" borderId="1" xfId="1" applyNumberFormat="1" applyFont="1" applyBorder="1" applyAlignment="1">
      <alignment vertical="center"/>
    </xf>
    <xf numFmtId="164" fontId="24" fillId="0" borderId="1" xfId="1" applyNumberFormat="1" applyFont="1" applyFill="1" applyBorder="1" applyAlignment="1">
      <alignment vertical="center"/>
    </xf>
    <xf numFmtId="0" fontId="31" fillId="0" borderId="1" xfId="1" applyNumberFormat="1" applyFont="1" applyBorder="1" applyAlignment="1">
      <alignment horizontal="center" vertical="center"/>
    </xf>
    <xf numFmtId="164" fontId="31" fillId="0" borderId="1" xfId="1" applyNumberFormat="1" applyFont="1" applyBorder="1" applyAlignment="1">
      <alignment horizontal="left" vertical="center"/>
    </xf>
    <xf numFmtId="164" fontId="31" fillId="0" borderId="1" xfId="1" applyNumberFormat="1" applyFont="1" applyBorder="1" applyAlignment="1">
      <alignment horizontal="center" vertical="center"/>
    </xf>
    <xf numFmtId="164" fontId="31" fillId="0" borderId="3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" xfId="1" applyNumberFormat="1" applyFont="1" applyBorder="1" applyAlignment="1">
      <alignment horizontal="left" vertical="center"/>
    </xf>
    <xf numFmtId="164" fontId="24" fillId="0" borderId="3" xfId="1" applyNumberFormat="1" applyFont="1" applyBorder="1" applyAlignment="1">
      <alignment vertical="center"/>
    </xf>
    <xf numFmtId="164" fontId="24" fillId="0" borderId="3" xfId="1" applyNumberFormat="1" applyFont="1" applyFill="1" applyBorder="1" applyAlignment="1">
      <alignment vertical="center"/>
    </xf>
    <xf numFmtId="164" fontId="24" fillId="0" borderId="1" xfId="1" applyNumberFormat="1" applyFont="1" applyBorder="1" applyAlignment="1">
      <alignment horizontal="right" vertical="center"/>
    </xf>
    <xf numFmtId="0" fontId="63" fillId="0" borderId="1" xfId="1" applyNumberFormat="1" applyFont="1" applyBorder="1" applyAlignment="1">
      <alignment horizontal="left" vertical="center"/>
    </xf>
    <xf numFmtId="164" fontId="32" fillId="0" borderId="1" xfId="1" applyNumberFormat="1" applyFont="1" applyBorder="1" applyAlignment="1">
      <alignment vertical="center"/>
    </xf>
    <xf numFmtId="164" fontId="63" fillId="0" borderId="1" xfId="1" applyNumberFormat="1" applyFont="1" applyBorder="1" applyAlignment="1">
      <alignment vertical="center"/>
    </xf>
    <xf numFmtId="0" fontId="24" fillId="0" borderId="5" xfId="1" applyNumberFormat="1" applyFont="1" applyBorder="1" applyAlignment="1">
      <alignment horizontal="left" vertical="center"/>
    </xf>
    <xf numFmtId="164" fontId="63" fillId="0" borderId="5" xfId="1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164" fontId="24" fillId="0" borderId="5" xfId="0" applyNumberFormat="1" applyFont="1" applyBorder="1" applyAlignment="1">
      <alignment vertical="center"/>
    </xf>
    <xf numFmtId="164" fontId="24" fillId="0" borderId="5" xfId="0" applyNumberFormat="1" applyFont="1" applyFill="1" applyBorder="1" applyAlignment="1">
      <alignment vertical="center"/>
    </xf>
    <xf numFmtId="164" fontId="24" fillId="0" borderId="5" xfId="1" applyNumberFormat="1" applyFont="1" applyBorder="1" applyAlignment="1">
      <alignment vertical="center"/>
    </xf>
    <xf numFmtId="0" fontId="55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164" fontId="31" fillId="0" borderId="7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horizontal="center" vertical="center"/>
    </xf>
    <xf numFmtId="0" fontId="36" fillId="0" borderId="0" xfId="0" applyFont="1" applyBorder="1"/>
    <xf numFmtId="164" fontId="19" fillId="0" borderId="0" xfId="1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164" fontId="19" fillId="0" borderId="0" xfId="1" applyNumberFormat="1" applyFont="1" applyBorder="1" applyAlignment="1">
      <alignment horizontal="right" vertical="center"/>
    </xf>
    <xf numFmtId="164" fontId="65" fillId="0" borderId="0" xfId="1" applyNumberFormat="1" applyFont="1" applyBorder="1" applyAlignment="1">
      <alignment vertical="center"/>
    </xf>
    <xf numFmtId="164" fontId="64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1" quotePrefix="1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0" fontId="43" fillId="0" borderId="1" xfId="1" applyNumberFormat="1" applyFont="1" applyBorder="1" applyAlignment="1">
      <alignment horizontal="center" vertical="center"/>
    </xf>
    <xf numFmtId="164" fontId="43" fillId="0" borderId="1" xfId="1" applyNumberFormat="1" applyFont="1" applyBorder="1" applyAlignment="1">
      <alignment horizontal="left" vertical="center"/>
    </xf>
    <xf numFmtId="0" fontId="53" fillId="0" borderId="1" xfId="1" applyNumberFormat="1" applyFont="1" applyBorder="1" applyAlignment="1">
      <alignment horizontal="left" vertical="center"/>
    </xf>
    <xf numFmtId="164" fontId="53" fillId="0" borderId="1" xfId="1" applyNumberFormat="1" applyFont="1" applyBorder="1" applyAlignment="1">
      <alignment vertical="center"/>
    </xf>
    <xf numFmtId="0" fontId="66" fillId="0" borderId="1" xfId="1" applyNumberFormat="1" applyFont="1" applyBorder="1" applyAlignment="1">
      <alignment horizontal="left" vertical="center"/>
    </xf>
    <xf numFmtId="0" fontId="53" fillId="0" borderId="5" xfId="1" applyNumberFormat="1" applyFont="1" applyBorder="1" applyAlignment="1">
      <alignment horizontal="left" vertical="center"/>
    </xf>
    <xf numFmtId="0" fontId="66" fillId="0" borderId="5" xfId="1" applyNumberFormat="1" applyFont="1" applyBorder="1" applyAlignment="1">
      <alignment horizontal="left" vertical="center"/>
    </xf>
    <xf numFmtId="164" fontId="66" fillId="0" borderId="5" xfId="1" applyNumberFormat="1" applyFont="1" applyBorder="1" applyAlignment="1">
      <alignment vertical="center"/>
    </xf>
    <xf numFmtId="0" fontId="5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53" fillId="0" borderId="5" xfId="0" applyFont="1" applyBorder="1" applyAlignment="1">
      <alignment horizontal="left" vertical="center"/>
    </xf>
    <xf numFmtId="0" fontId="53" fillId="0" borderId="5" xfId="0" applyFont="1" applyBorder="1" applyAlignment="1">
      <alignment vertical="center"/>
    </xf>
    <xf numFmtId="0" fontId="62" fillId="0" borderId="7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164" fontId="53" fillId="0" borderId="3" xfId="1" applyNumberFormat="1" applyFont="1" applyBorder="1" applyAlignment="1">
      <alignment horizontal="left" vertical="center"/>
    </xf>
    <xf numFmtId="164" fontId="30" fillId="0" borderId="3" xfId="1" applyNumberFormat="1" applyFont="1" applyBorder="1" applyAlignment="1">
      <alignment horizontal="left" vertical="center"/>
    </xf>
    <xf numFmtId="164" fontId="66" fillId="0" borderId="4" xfId="1" applyNumberFormat="1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53" fillId="0" borderId="4" xfId="0" applyFont="1" applyBorder="1" applyAlignment="1">
      <alignment horizontal="right" vertical="center"/>
    </xf>
    <xf numFmtId="164" fontId="43" fillId="0" borderId="3" xfId="1" applyNumberFormat="1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18" fillId="0" borderId="1" xfId="1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164" fontId="19" fillId="0" borderId="1" xfId="1" applyNumberFormat="1" applyFont="1" applyBorder="1" applyAlignment="1">
      <alignment vertical="center"/>
    </xf>
    <xf numFmtId="0" fontId="64" fillId="0" borderId="1" xfId="1" applyNumberFormat="1" applyFont="1" applyBorder="1" applyAlignment="1">
      <alignment horizontal="left" vertical="center"/>
    </xf>
    <xf numFmtId="0" fontId="19" fillId="0" borderId="5" xfId="1" applyNumberFormat="1" applyFont="1" applyBorder="1" applyAlignment="1">
      <alignment horizontal="left" vertical="center"/>
    </xf>
    <xf numFmtId="0" fontId="64" fillId="0" borderId="5" xfId="1" applyNumberFormat="1" applyFont="1" applyBorder="1" applyAlignment="1">
      <alignment horizontal="left" vertical="center"/>
    </xf>
    <xf numFmtId="164" fontId="64" fillId="0" borderId="5" xfId="1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4" fontId="19" fillId="0" borderId="1" xfId="1" applyNumberFormat="1" applyFont="1" applyBorder="1" applyAlignment="1">
      <alignment horizontal="left" vertical="center"/>
    </xf>
    <xf numFmtId="164" fontId="64" fillId="0" borderId="1" xfId="1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9" fillId="0" borderId="1" xfId="1" applyNumberFormat="1" applyFont="1" applyBorder="1" applyAlignment="1">
      <alignment horizontal="right"/>
    </xf>
    <xf numFmtId="164" fontId="19" fillId="0" borderId="1" xfId="1" applyNumberFormat="1" applyFont="1" applyBorder="1" applyAlignment="1">
      <alignment horizontal="left"/>
    </xf>
    <xf numFmtId="164" fontId="18" fillId="0" borderId="1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left" vertical="center"/>
    </xf>
    <xf numFmtId="164" fontId="68" fillId="0" borderId="7" xfId="1" applyNumberFormat="1" applyFont="1" applyBorder="1" applyAlignment="1">
      <alignment vertical="center"/>
    </xf>
    <xf numFmtId="164" fontId="36" fillId="0" borderId="0" xfId="1" applyNumberFormat="1" applyFont="1"/>
    <xf numFmtId="164" fontId="55" fillId="0" borderId="1" xfId="1" applyNumberFormat="1" applyFont="1" applyBorder="1"/>
    <xf numFmtId="164" fontId="58" fillId="0" borderId="1" xfId="1" applyNumberFormat="1" applyFont="1" applyBorder="1"/>
    <xf numFmtId="164" fontId="24" fillId="3" borderId="1" xfId="1" applyNumberFormat="1" applyFont="1" applyFill="1" applyBorder="1" applyAlignment="1">
      <alignment horizontal="left"/>
    </xf>
    <xf numFmtId="164" fontId="24" fillId="3" borderId="1" xfId="1" applyNumberFormat="1" applyFont="1" applyFill="1" applyBorder="1"/>
    <xf numFmtId="164" fontId="24" fillId="0" borderId="7" xfId="1" applyNumberFormat="1" applyFont="1" applyBorder="1" applyAlignment="1">
      <alignment horizontal="left"/>
    </xf>
    <xf numFmtId="0" fontId="59" fillId="0" borderId="1" xfId="0" applyFont="1" applyBorder="1" applyAlignment="1">
      <alignment horizontal="left" vertical="top"/>
    </xf>
    <xf numFmtId="0" fontId="59" fillId="0" borderId="1" xfId="0" applyFont="1" applyBorder="1" applyAlignment="1">
      <alignment vertical="top"/>
    </xf>
    <xf numFmtId="164" fontId="55" fillId="0" borderId="1" xfId="1" applyNumberFormat="1" applyFont="1" applyBorder="1" applyAlignment="1"/>
    <xf numFmtId="0" fontId="55" fillId="0" borderId="0" xfId="0" applyFont="1" applyAlignment="1"/>
    <xf numFmtId="0" fontId="68" fillId="0" borderId="0" xfId="0" applyFont="1" applyAlignment="1">
      <alignment horizontal="center"/>
    </xf>
    <xf numFmtId="164" fontId="71" fillId="0" borderId="0" xfId="1" applyNumberFormat="1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16" xfId="0" applyFont="1" applyBorder="1" applyAlignment="1">
      <alignment horizontal="left"/>
    </xf>
    <xf numFmtId="164" fontId="69" fillId="0" borderId="0" xfId="1" applyNumberFormat="1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71" fillId="0" borderId="14" xfId="0" applyFont="1" applyBorder="1" applyAlignment="1">
      <alignment horizontal="left"/>
    </xf>
    <xf numFmtId="0" fontId="69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164" fontId="71" fillId="0" borderId="16" xfId="1" applyNumberFormat="1" applyFont="1" applyBorder="1" applyAlignment="1">
      <alignment horizontal="left"/>
    </xf>
    <xf numFmtId="164" fontId="43" fillId="0" borderId="1" xfId="1" applyNumberFormat="1" applyFont="1" applyBorder="1" applyAlignment="1">
      <alignment vertical="center"/>
    </xf>
    <xf numFmtId="0" fontId="74" fillId="0" borderId="1" xfId="0" applyFont="1" applyBorder="1"/>
    <xf numFmtId="164" fontId="74" fillId="0" borderId="1" xfId="1" applyNumberFormat="1" applyFont="1" applyBorder="1"/>
    <xf numFmtId="0" fontId="75" fillId="0" borderId="1" xfId="0" applyFont="1" applyBorder="1"/>
    <xf numFmtId="164" fontId="75" fillId="0" borderId="1" xfId="1" applyNumberFormat="1" applyFont="1" applyBorder="1"/>
    <xf numFmtId="0" fontId="76" fillId="0" borderId="1" xfId="0" applyFont="1" applyBorder="1"/>
    <xf numFmtId="0" fontId="77" fillId="0" borderId="1" xfId="0" applyFont="1" applyBorder="1" applyAlignment="1"/>
    <xf numFmtId="0" fontId="49" fillId="0" borderId="0" xfId="0" applyFont="1"/>
    <xf numFmtId="0" fontId="77" fillId="0" borderId="1" xfId="0" applyFont="1" applyBorder="1"/>
    <xf numFmtId="164" fontId="77" fillId="0" borderId="1" xfId="1" applyNumberFormat="1" applyFont="1" applyBorder="1"/>
    <xf numFmtId="164" fontId="76" fillId="0" borderId="1" xfId="1" applyNumberFormat="1" applyFont="1" applyBorder="1"/>
    <xf numFmtId="0" fontId="77" fillId="0" borderId="1" xfId="0" applyFont="1" applyBorder="1" applyAlignment="1">
      <alignment horizontal="left"/>
    </xf>
    <xf numFmtId="164" fontId="77" fillId="0" borderId="1" xfId="1" applyNumberFormat="1" applyFont="1" applyBorder="1" applyAlignment="1">
      <alignment horizontal="center"/>
    </xf>
    <xf numFmtId="0" fontId="76" fillId="0" borderId="1" xfId="0" applyFont="1" applyBorder="1" applyAlignment="1">
      <alignment horizontal="left"/>
    </xf>
    <xf numFmtId="164" fontId="76" fillId="0" borderId="1" xfId="1" applyNumberFormat="1" applyFont="1" applyBorder="1" applyAlignment="1">
      <alignment horizontal="left"/>
    </xf>
    <xf numFmtId="3" fontId="76" fillId="0" borderId="1" xfId="0" applyNumberFormat="1" applyFont="1" applyBorder="1" applyAlignment="1">
      <alignment horizontal="right" vertical="center"/>
    </xf>
    <xf numFmtId="164" fontId="77" fillId="0" borderId="1" xfId="1" applyNumberFormat="1" applyFont="1" applyBorder="1" applyAlignment="1">
      <alignment horizontal="left"/>
    </xf>
    <xf numFmtId="0" fontId="79" fillId="0" borderId="1" xfId="4" applyFont="1" applyBorder="1" applyAlignment="1">
      <alignment horizontal="left" vertical="center"/>
    </xf>
    <xf numFmtId="0" fontId="79" fillId="0" borderId="1" xfId="4" applyFont="1" applyBorder="1" applyAlignment="1">
      <alignment horizontal="center" vertical="center"/>
    </xf>
    <xf numFmtId="0" fontId="79" fillId="0" borderId="1" xfId="4" applyFont="1" applyBorder="1" applyAlignment="1">
      <alignment vertical="center"/>
    </xf>
    <xf numFmtId="0" fontId="78" fillId="0" borderId="1" xfId="4" applyFont="1" applyBorder="1" applyAlignment="1">
      <alignment vertical="center"/>
    </xf>
    <xf numFmtId="3" fontId="78" fillId="0" borderId="1" xfId="4" applyNumberFormat="1" applyFont="1" applyBorder="1" applyAlignment="1">
      <alignment vertical="center"/>
    </xf>
    <xf numFmtId="164" fontId="78" fillId="0" borderId="1" xfId="1" applyNumberFormat="1" applyFont="1" applyBorder="1" applyAlignment="1">
      <alignment vertical="center"/>
    </xf>
    <xf numFmtId="37" fontId="78" fillId="0" borderId="1" xfId="4" applyNumberFormat="1" applyFont="1" applyBorder="1" applyAlignment="1">
      <alignment vertical="center"/>
    </xf>
    <xf numFmtId="0" fontId="78" fillId="0" borderId="1" xfId="4" applyFont="1" applyFill="1" applyBorder="1" applyAlignment="1">
      <alignment vertical="center"/>
    </xf>
    <xf numFmtId="0" fontId="73" fillId="0" borderId="1" xfId="4" applyFont="1" applyFill="1" applyBorder="1" applyAlignment="1">
      <alignment vertical="center"/>
    </xf>
    <xf numFmtId="3" fontId="73" fillId="0" borderId="1" xfId="4" applyNumberFormat="1" applyFont="1" applyBorder="1" applyAlignment="1">
      <alignment vertical="center"/>
    </xf>
    <xf numFmtId="37" fontId="73" fillId="0" borderId="1" xfId="4" applyNumberFormat="1" applyFont="1" applyBorder="1" applyAlignment="1">
      <alignment vertical="center"/>
    </xf>
    <xf numFmtId="0" fontId="79" fillId="0" borderId="1" xfId="4" applyFont="1" applyFill="1" applyBorder="1" applyAlignment="1">
      <alignment vertical="center"/>
    </xf>
    <xf numFmtId="0" fontId="73" fillId="0" borderId="1" xfId="4" applyFont="1" applyBorder="1" applyAlignment="1">
      <alignment vertical="center"/>
    </xf>
    <xf numFmtId="0" fontId="80" fillId="0" borderId="1" xfId="4" applyFont="1" applyBorder="1" applyAlignment="1">
      <alignment vertical="center"/>
    </xf>
    <xf numFmtId="0" fontId="73" fillId="2" borderId="1" xfId="4" applyFont="1" applyFill="1" applyBorder="1" applyAlignment="1">
      <alignment vertical="center"/>
    </xf>
    <xf numFmtId="3" fontId="73" fillId="2" borderId="1" xfId="4" applyNumberFormat="1" applyFont="1" applyFill="1" applyBorder="1" applyAlignment="1">
      <alignment vertical="center"/>
    </xf>
    <xf numFmtId="43" fontId="78" fillId="0" borderId="1" xfId="1" applyFont="1" applyBorder="1" applyAlignment="1">
      <alignment vertical="center"/>
    </xf>
    <xf numFmtId="164" fontId="78" fillId="2" borderId="1" xfId="1" applyNumberFormat="1" applyFont="1" applyFill="1" applyBorder="1"/>
    <xf numFmtId="0" fontId="81" fillId="0" borderId="1" xfId="0" applyFont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2" borderId="1" xfId="0" applyFont="1" applyFill="1" applyBorder="1" applyAlignment="1">
      <alignment horizontal="center"/>
    </xf>
    <xf numFmtId="0" fontId="78" fillId="2" borderId="1" xfId="0" applyFont="1" applyFill="1" applyBorder="1"/>
    <xf numFmtId="164" fontId="78" fillId="2" borderId="1" xfId="1" applyNumberFormat="1" applyFont="1" applyFill="1" applyBorder="1" applyAlignment="1">
      <alignment horizontal="left"/>
    </xf>
    <xf numFmtId="164" fontId="78" fillId="2" borderId="1" xfId="0" applyNumberFormat="1" applyFont="1" applyFill="1" applyBorder="1"/>
    <xf numFmtId="3" fontId="78" fillId="0" borderId="1" xfId="0" applyNumberFormat="1" applyFont="1" applyBorder="1"/>
    <xf numFmtId="0" fontId="82" fillId="2" borderId="1" xfId="0" applyFont="1" applyFill="1" applyBorder="1"/>
    <xf numFmtId="164" fontId="82" fillId="2" borderId="1" xfId="1" applyNumberFormat="1" applyFont="1" applyFill="1" applyBorder="1"/>
    <xf numFmtId="164" fontId="82" fillId="2" borderId="1" xfId="0" applyNumberFormat="1" applyFont="1" applyFill="1" applyBorder="1"/>
    <xf numFmtId="0" fontId="83" fillId="0" borderId="0" xfId="0" applyFont="1"/>
    <xf numFmtId="0" fontId="51" fillId="0" borderId="1" xfId="0" applyFont="1" applyBorder="1"/>
    <xf numFmtId="41" fontId="51" fillId="0" borderId="1" xfId="0" applyNumberFormat="1" applyFont="1" applyBorder="1"/>
    <xf numFmtId="0" fontId="70" fillId="0" borderId="1" xfId="0" applyFont="1" applyBorder="1"/>
    <xf numFmtId="41" fontId="70" fillId="0" borderId="1" xfId="0" applyNumberFormat="1" applyFont="1" applyBorder="1"/>
    <xf numFmtId="0" fontId="36" fillId="0" borderId="1" xfId="0" applyFont="1" applyBorder="1"/>
    <xf numFmtId="41" fontId="36" fillId="0" borderId="1" xfId="0" applyNumberFormat="1" applyFont="1" applyBorder="1"/>
    <xf numFmtId="164" fontId="36" fillId="0" borderId="1" xfId="0" applyNumberFormat="1" applyFont="1" applyBorder="1"/>
    <xf numFmtId="43" fontId="36" fillId="0" borderId="1" xfId="0" applyNumberFormat="1" applyFont="1" applyBorder="1"/>
    <xf numFmtId="164" fontId="36" fillId="0" borderId="1" xfId="1" applyNumberFormat="1" applyFont="1" applyBorder="1"/>
    <xf numFmtId="164" fontId="53" fillId="2" borderId="1" xfId="1" applyNumberFormat="1" applyFont="1" applyFill="1" applyBorder="1"/>
    <xf numFmtId="164" fontId="53" fillId="0" borderId="1" xfId="1" applyNumberFormat="1" applyFont="1" applyFill="1" applyBorder="1" applyAlignment="1">
      <alignment vertical="center"/>
    </xf>
    <xf numFmtId="164" fontId="53" fillId="0" borderId="1" xfId="1" applyNumberFormat="1" applyFont="1" applyBorder="1" applyAlignment="1">
      <alignment horizontal="left" vertical="center"/>
    </xf>
    <xf numFmtId="164" fontId="53" fillId="2" borderId="1" xfId="1" applyNumberFormat="1" applyFont="1" applyFill="1" applyBorder="1" applyAlignment="1">
      <alignment horizontal="right"/>
    </xf>
    <xf numFmtId="164" fontId="48" fillId="0" borderId="1" xfId="1" applyNumberFormat="1" applyFont="1" applyBorder="1" applyAlignment="1">
      <alignment vertical="center"/>
    </xf>
    <xf numFmtId="164" fontId="53" fillId="0" borderId="1" xfId="1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164" fontId="44" fillId="0" borderId="1" xfId="1" applyNumberFormat="1" applyFont="1" applyBorder="1" applyAlignment="1">
      <alignment vertical="center"/>
    </xf>
    <xf numFmtId="164" fontId="53" fillId="0" borderId="1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43" fillId="0" borderId="1" xfId="1" applyNumberFormat="1" applyFont="1" applyFill="1" applyBorder="1" applyAlignment="1">
      <alignment vertical="center"/>
    </xf>
    <xf numFmtId="164" fontId="43" fillId="0" borderId="1" xfId="1" applyNumberFormat="1" applyFont="1" applyFill="1" applyBorder="1" applyAlignment="1">
      <alignment horizontal="left" vertical="center"/>
    </xf>
    <xf numFmtId="0" fontId="53" fillId="0" borderId="1" xfId="0" applyFont="1" applyFill="1" applyBorder="1" applyAlignment="1">
      <alignment vertical="center"/>
    </xf>
    <xf numFmtId="164" fontId="53" fillId="0" borderId="1" xfId="0" applyNumberFormat="1" applyFont="1" applyFill="1" applyBorder="1" applyAlignment="1">
      <alignment vertical="center"/>
    </xf>
    <xf numFmtId="0" fontId="84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vertical="center" wrapText="1"/>
    </xf>
    <xf numFmtId="164" fontId="53" fillId="0" borderId="5" xfId="1" applyNumberFormat="1" applyFont="1" applyFill="1" applyBorder="1" applyAlignment="1">
      <alignment horizontal="left" vertical="center"/>
    </xf>
    <xf numFmtId="164" fontId="43" fillId="0" borderId="5" xfId="1" applyNumberFormat="1" applyFont="1" applyFill="1" applyBorder="1" applyAlignment="1">
      <alignment vertical="center"/>
    </xf>
    <xf numFmtId="164" fontId="53" fillId="0" borderId="5" xfId="1" applyNumberFormat="1" applyFont="1" applyFill="1" applyBorder="1" applyAlignment="1">
      <alignment vertical="center"/>
    </xf>
    <xf numFmtId="164" fontId="53" fillId="0" borderId="7" xfId="1" applyNumberFormat="1" applyFont="1" applyFill="1" applyBorder="1" applyAlignment="1">
      <alignment horizontal="left" vertical="center"/>
    </xf>
    <xf numFmtId="164" fontId="43" fillId="0" borderId="7" xfId="1" applyNumberFormat="1" applyFont="1" applyFill="1" applyBorder="1" applyAlignment="1">
      <alignment vertical="center"/>
    </xf>
    <xf numFmtId="164" fontId="53" fillId="0" borderId="7" xfId="1" applyNumberFormat="1" applyFont="1" applyFill="1" applyBorder="1" applyAlignment="1">
      <alignment vertical="center"/>
    </xf>
    <xf numFmtId="164" fontId="31" fillId="0" borderId="1" xfId="1" applyNumberFormat="1" applyFont="1" applyBorder="1" applyAlignment="1">
      <alignment vertical="center"/>
    </xf>
    <xf numFmtId="164" fontId="28" fillId="0" borderId="0" xfId="1" applyNumberFormat="1" applyFont="1" applyAlignment="1"/>
    <xf numFmtId="164" fontId="31" fillId="0" borderId="7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24" fillId="0" borderId="1" xfId="0" applyNumberFormat="1" applyFont="1" applyBorder="1" applyAlignment="1">
      <alignment vertical="center"/>
    </xf>
    <xf numFmtId="164" fontId="53" fillId="2" borderId="1" xfId="1" applyNumberFormat="1" applyFont="1" applyFill="1" applyBorder="1" applyAlignment="1">
      <alignment vertical="center"/>
    </xf>
    <xf numFmtId="164" fontId="53" fillId="2" borderId="1" xfId="0" applyNumberFormat="1" applyFont="1" applyFill="1" applyBorder="1"/>
    <xf numFmtId="0" fontId="1" fillId="2" borderId="0" xfId="0" applyFont="1" applyFill="1" applyAlignment="1">
      <alignment vertical="center"/>
    </xf>
    <xf numFmtId="41" fontId="92" fillId="2" borderId="1" xfId="1" applyNumberFormat="1" applyFont="1" applyFill="1" applyBorder="1" applyAlignment="1">
      <alignment vertical="center"/>
    </xf>
    <xf numFmtId="164" fontId="92" fillId="2" borderId="1" xfId="1" applyNumberFormat="1" applyFont="1" applyFill="1" applyBorder="1" applyAlignment="1">
      <alignment vertical="center"/>
    </xf>
    <xf numFmtId="41" fontId="91" fillId="2" borderId="1" xfId="1" applyNumberFormat="1" applyFont="1" applyFill="1" applyBorder="1" applyAlignment="1">
      <alignment vertical="center"/>
    </xf>
    <xf numFmtId="164" fontId="43" fillId="2" borderId="1" xfId="0" applyNumberFormat="1" applyFont="1" applyFill="1" applyBorder="1"/>
    <xf numFmtId="164" fontId="43" fillId="2" borderId="1" xfId="1" applyNumberFormat="1" applyFont="1" applyFill="1" applyBorder="1"/>
    <xf numFmtId="41" fontId="53" fillId="2" borderId="1" xfId="0" applyNumberFormat="1" applyFont="1" applyFill="1" applyBorder="1"/>
    <xf numFmtId="41" fontId="53" fillId="2" borderId="1" xfId="1" applyNumberFormat="1" applyFont="1" applyFill="1" applyBorder="1"/>
    <xf numFmtId="41" fontId="43" fillId="2" borderId="1" xfId="1" applyNumberFormat="1" applyFont="1" applyFill="1" applyBorder="1"/>
    <xf numFmtId="41" fontId="43" fillId="2" borderId="1" xfId="0" applyNumberFormat="1" applyFont="1" applyFill="1" applyBorder="1"/>
    <xf numFmtId="164" fontId="43" fillId="2" borderId="1" xfId="1" applyNumberFormat="1" applyFont="1" applyFill="1" applyBorder="1" applyAlignment="1">
      <alignment horizontal="right"/>
    </xf>
    <xf numFmtId="164" fontId="43" fillId="2" borderId="1" xfId="1" applyNumberFormat="1" applyFont="1" applyFill="1" applyBorder="1" applyAlignment="1">
      <alignment horizontal="center"/>
    </xf>
    <xf numFmtId="164" fontId="62" fillId="2" borderId="1" xfId="1" applyNumberFormat="1" applyFont="1" applyFill="1" applyBorder="1" applyAlignment="1">
      <alignment vertical="center"/>
    </xf>
    <xf numFmtId="164" fontId="53" fillId="2" borderId="1" xfId="2" applyNumberFormat="1" applyFont="1" applyFill="1" applyBorder="1" applyAlignment="1">
      <alignment vertical="center"/>
    </xf>
    <xf numFmtId="164" fontId="43" fillId="2" borderId="1" xfId="2" applyNumberFormat="1" applyFont="1" applyFill="1" applyBorder="1" applyAlignment="1">
      <alignment vertical="center"/>
    </xf>
    <xf numFmtId="3" fontId="53" fillId="2" borderId="1" xfId="0" applyNumberFormat="1" applyFont="1" applyFill="1" applyBorder="1"/>
    <xf numFmtId="3" fontId="43" fillId="2" borderId="1" xfId="0" applyNumberFormat="1" applyFont="1" applyFill="1" applyBorder="1"/>
    <xf numFmtId="0" fontId="53" fillId="2" borderId="1" xfId="0" applyFont="1" applyFill="1" applyBorder="1"/>
    <xf numFmtId="43" fontId="53" fillId="2" borderId="1" xfId="1" applyFont="1" applyFill="1" applyBorder="1"/>
    <xf numFmtId="164" fontId="53" fillId="2" borderId="1" xfId="0" applyNumberFormat="1" applyFont="1" applyFill="1" applyBorder="1" applyAlignment="1"/>
    <xf numFmtId="3" fontId="53" fillId="2" borderId="1" xfId="1" applyNumberFormat="1" applyFont="1" applyFill="1" applyBorder="1" applyAlignment="1">
      <alignment horizontal="right"/>
    </xf>
    <xf numFmtId="164" fontId="37" fillId="2" borderId="1" xfId="1" applyNumberFormat="1" applyFont="1" applyFill="1" applyBorder="1"/>
    <xf numFmtId="164" fontId="38" fillId="2" borderId="1" xfId="1" applyNumberFormat="1" applyFont="1" applyFill="1" applyBorder="1"/>
    <xf numFmtId="164" fontId="43" fillId="2" borderId="1" xfId="1" applyNumberFormat="1" applyFont="1" applyFill="1" applyBorder="1" applyAlignment="1">
      <alignment vertical="center"/>
    </xf>
    <xf numFmtId="41" fontId="92" fillId="2" borderId="1" xfId="0" applyNumberFormat="1" applyFont="1" applyFill="1" applyBorder="1" applyAlignment="1">
      <alignment vertical="center"/>
    </xf>
    <xf numFmtId="41" fontId="91" fillId="2" borderId="1" xfId="0" applyNumberFormat="1" applyFont="1" applyFill="1" applyBorder="1" applyAlignment="1">
      <alignment vertical="center"/>
    </xf>
    <xf numFmtId="164" fontId="53" fillId="2" borderId="1" xfId="1" applyNumberFormat="1" applyFont="1" applyFill="1" applyBorder="1" applyAlignment="1">
      <alignment horizontal="center"/>
    </xf>
    <xf numFmtId="164" fontId="53" fillId="2" borderId="1" xfId="1" applyNumberFormat="1" applyFont="1" applyFill="1" applyBorder="1" applyAlignment="1">
      <alignment horizontal="left"/>
    </xf>
    <xf numFmtId="164" fontId="43" fillId="2" borderId="1" xfId="1" applyNumberFormat="1" applyFont="1" applyFill="1" applyBorder="1" applyAlignment="1">
      <alignment horizontal="left"/>
    </xf>
    <xf numFmtId="164" fontId="53" fillId="2" borderId="1" xfId="1" applyNumberFormat="1" applyFont="1" applyFill="1" applyBorder="1" applyAlignment="1"/>
    <xf numFmtId="3" fontId="53" fillId="2" borderId="1" xfId="1" applyNumberFormat="1" applyFont="1" applyFill="1" applyBorder="1"/>
    <xf numFmtId="164" fontId="31" fillId="0" borderId="1" xfId="1" applyNumberFormat="1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vertical="center"/>
    </xf>
    <xf numFmtId="164" fontId="31" fillId="2" borderId="1" xfId="1" applyNumberFormat="1" applyFont="1" applyFill="1" applyBorder="1" applyAlignment="1">
      <alignment vertical="center"/>
    </xf>
    <xf numFmtId="164" fontId="91" fillId="2" borderId="1" xfId="1" applyNumberFormat="1" applyFont="1" applyFill="1" applyBorder="1" applyAlignment="1">
      <alignment vertical="center"/>
    </xf>
    <xf numFmtId="164" fontId="92" fillId="2" borderId="1" xfId="0" applyNumberFormat="1" applyFont="1" applyFill="1" applyBorder="1" applyAlignment="1">
      <alignment vertical="center"/>
    </xf>
    <xf numFmtId="164" fontId="91" fillId="2" borderId="1" xfId="0" applyNumberFormat="1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horizontal="center" vertical="center"/>
    </xf>
    <xf numFmtId="3" fontId="43" fillId="2" borderId="1" xfId="1" applyNumberFormat="1" applyFont="1" applyFill="1" applyBorder="1"/>
    <xf numFmtId="43" fontId="43" fillId="2" borderId="1" xfId="1" applyFont="1" applyFill="1" applyBorder="1"/>
    <xf numFmtId="0" fontId="94" fillId="0" borderId="1" xfId="0" applyFont="1" applyBorder="1" applyAlignment="1">
      <alignment vertical="center"/>
    </xf>
    <xf numFmtId="0" fontId="95" fillId="0" borderId="1" xfId="0" applyFont="1" applyFill="1" applyBorder="1" applyAlignment="1">
      <alignment vertical="center"/>
    </xf>
    <xf numFmtId="164" fontId="94" fillId="0" borderId="1" xfId="1" applyNumberFormat="1" applyFont="1" applyBorder="1" applyAlignment="1">
      <alignment vertical="center"/>
    </xf>
    <xf numFmtId="0" fontId="96" fillId="0" borderId="1" xfId="4" applyFont="1" applyBorder="1" applyAlignment="1">
      <alignment vertical="center"/>
    </xf>
    <xf numFmtId="0" fontId="97" fillId="0" borderId="1" xfId="4" applyFont="1" applyFill="1" applyBorder="1" applyAlignment="1">
      <alignment vertical="center"/>
    </xf>
    <xf numFmtId="164" fontId="96" fillId="0" borderId="1" xfId="1" applyNumberFormat="1" applyFont="1" applyBorder="1" applyAlignment="1">
      <alignment vertical="center"/>
    </xf>
    <xf numFmtId="0" fontId="98" fillId="0" borderId="1" xfId="0" applyFont="1" applyBorder="1" applyAlignment="1">
      <alignment vertical="center"/>
    </xf>
    <xf numFmtId="164" fontId="99" fillId="0" borderId="1" xfId="1" applyNumberFormat="1" applyFont="1" applyFill="1" applyBorder="1" applyAlignment="1">
      <alignment vertical="center"/>
    </xf>
    <xf numFmtId="0" fontId="100" fillId="0" borderId="1" xfId="4" applyFont="1" applyBorder="1" applyAlignment="1">
      <alignment vertical="center"/>
    </xf>
    <xf numFmtId="0" fontId="101" fillId="0" borderId="1" xfId="4" applyFont="1" applyBorder="1" applyAlignment="1">
      <alignment vertical="center"/>
    </xf>
    <xf numFmtId="0" fontId="35" fillId="0" borderId="1" xfId="4" applyFont="1" applyFill="1" applyBorder="1" applyAlignment="1">
      <alignment vertical="center"/>
    </xf>
    <xf numFmtId="164" fontId="101" fillId="0" borderId="1" xfId="1" applyNumberFormat="1" applyFont="1" applyBorder="1" applyAlignment="1">
      <alignment vertical="center"/>
    </xf>
    <xf numFmtId="164" fontId="35" fillId="0" borderId="1" xfId="1" applyNumberFormat="1" applyFont="1" applyFill="1" applyBorder="1" applyAlignment="1">
      <alignment vertical="center"/>
    </xf>
    <xf numFmtId="0" fontId="101" fillId="0" borderId="1" xfId="4" applyFont="1" applyFill="1" applyBorder="1" applyAlignment="1">
      <alignment vertical="center"/>
    </xf>
    <xf numFmtId="3" fontId="101" fillId="0" borderId="1" xfId="4" applyNumberFormat="1" applyFont="1" applyBorder="1" applyAlignment="1">
      <alignment vertical="center"/>
    </xf>
    <xf numFmtId="3" fontId="35" fillId="0" borderId="1" xfId="4" applyNumberFormat="1" applyFont="1" applyFill="1" applyBorder="1" applyAlignment="1">
      <alignment vertical="center"/>
    </xf>
    <xf numFmtId="3" fontId="102" fillId="0" borderId="1" xfId="4" applyNumberFormat="1" applyFont="1" applyBorder="1" applyAlignment="1">
      <alignment vertical="center"/>
    </xf>
    <xf numFmtId="3" fontId="103" fillId="0" borderId="1" xfId="4" applyNumberFormat="1" applyFont="1" applyFill="1" applyBorder="1" applyAlignment="1">
      <alignment vertical="center"/>
    </xf>
    <xf numFmtId="0" fontId="100" fillId="0" borderId="1" xfId="4" applyFont="1" applyFill="1" applyBorder="1" applyAlignment="1">
      <alignment vertical="center"/>
    </xf>
    <xf numFmtId="3" fontId="96" fillId="0" borderId="1" xfId="4" applyNumberFormat="1" applyFont="1" applyBorder="1" applyAlignment="1">
      <alignment vertical="center"/>
    </xf>
    <xf numFmtId="3" fontId="97" fillId="0" borderId="1" xfId="4" applyNumberFormat="1" applyFont="1" applyFill="1" applyBorder="1" applyAlignment="1">
      <alignment vertical="center"/>
    </xf>
    <xf numFmtId="164" fontId="100" fillId="0" borderId="1" xfId="1" applyNumberFormat="1" applyFont="1" applyBorder="1" applyAlignment="1">
      <alignment vertical="center"/>
    </xf>
    <xf numFmtId="0" fontId="96" fillId="0" borderId="1" xfId="4" applyFont="1" applyFill="1" applyBorder="1" applyAlignment="1">
      <alignment vertical="center"/>
    </xf>
    <xf numFmtId="3" fontId="100" fillId="0" borderId="1" xfId="4" applyNumberFormat="1" applyFont="1" applyBorder="1" applyAlignment="1">
      <alignment vertical="center"/>
    </xf>
    <xf numFmtId="3" fontId="99" fillId="0" borderId="1" xfId="4" applyNumberFormat="1" applyFont="1" applyFill="1" applyBorder="1" applyAlignment="1">
      <alignment vertical="center"/>
    </xf>
    <xf numFmtId="3" fontId="102" fillId="0" borderId="1" xfId="4" applyNumberFormat="1" applyFont="1" applyFill="1" applyBorder="1" applyAlignment="1">
      <alignment vertical="center"/>
    </xf>
    <xf numFmtId="164" fontId="104" fillId="0" borderId="1" xfId="1" applyNumberFormat="1" applyFont="1" applyBorder="1" applyAlignment="1">
      <alignment vertical="center"/>
    </xf>
    <xf numFmtId="164" fontId="105" fillId="0" borderId="1" xfId="1" applyNumberFormat="1" applyFont="1" applyBorder="1" applyAlignment="1">
      <alignment vertical="center"/>
    </xf>
    <xf numFmtId="164" fontId="106" fillId="0" borderId="1" xfId="1" applyNumberFormat="1" applyFont="1" applyFill="1" applyBorder="1" applyAlignment="1">
      <alignment vertical="center"/>
    </xf>
    <xf numFmtId="0" fontId="100" fillId="2" borderId="1" xfId="4" applyFont="1" applyFill="1" applyBorder="1" applyAlignment="1">
      <alignment vertical="center"/>
    </xf>
    <xf numFmtId="3" fontId="96" fillId="2" borderId="1" xfId="4" applyNumberFormat="1" applyFont="1" applyFill="1" applyBorder="1" applyAlignment="1">
      <alignment vertical="center"/>
    </xf>
    <xf numFmtId="164" fontId="95" fillId="0" borderId="1" xfId="1" applyNumberFormat="1" applyFont="1" applyFill="1" applyBorder="1" applyAlignment="1">
      <alignment vertical="center"/>
    </xf>
    <xf numFmtId="164" fontId="107" fillId="0" borderId="1" xfId="1" applyNumberFormat="1" applyFont="1" applyBorder="1" applyAlignment="1">
      <alignment vertical="center"/>
    </xf>
    <xf numFmtId="164" fontId="108" fillId="0" borderId="1" xfId="1" applyNumberFormat="1" applyFont="1" applyFill="1" applyBorder="1" applyAlignment="1">
      <alignment vertical="center"/>
    </xf>
    <xf numFmtId="43" fontId="35" fillId="0" borderId="1" xfId="1" applyFont="1" applyFill="1" applyBorder="1" applyAlignment="1">
      <alignment vertical="center"/>
    </xf>
    <xf numFmtId="0" fontId="99" fillId="0" borderId="1" xfId="4" applyFont="1" applyFill="1" applyBorder="1" applyAlignment="1">
      <alignment vertical="center"/>
    </xf>
    <xf numFmtId="43" fontId="101" fillId="0" borderId="1" xfId="1" applyFont="1" applyBorder="1" applyAlignment="1">
      <alignment vertical="center"/>
    </xf>
    <xf numFmtId="0" fontId="98" fillId="0" borderId="1" xfId="4" applyFont="1" applyBorder="1" applyAlignment="1">
      <alignment vertical="center"/>
    </xf>
    <xf numFmtId="164" fontId="109" fillId="0" borderId="1" xfId="1" applyNumberFormat="1" applyFont="1" applyFill="1" applyBorder="1" applyAlignment="1">
      <alignment vertical="center"/>
    </xf>
    <xf numFmtId="37" fontId="96" fillId="0" borderId="1" xfId="4" applyNumberFormat="1" applyFont="1" applyBorder="1" applyAlignment="1">
      <alignment vertical="center"/>
    </xf>
    <xf numFmtId="37" fontId="97" fillId="0" borderId="1" xfId="4" applyNumberFormat="1" applyFont="1" applyFill="1" applyBorder="1" applyAlignment="1">
      <alignment vertical="center"/>
    </xf>
    <xf numFmtId="0" fontId="110" fillId="0" borderId="1" xfId="0" applyFont="1" applyBorder="1" applyAlignment="1">
      <alignment horizontal="left" vertical="center"/>
    </xf>
    <xf numFmtId="0" fontId="110" fillId="0" borderId="1" xfId="0" applyFont="1" applyBorder="1" applyAlignment="1">
      <alignment vertical="center"/>
    </xf>
    <xf numFmtId="164" fontId="110" fillId="0" borderId="1" xfId="1" applyNumberFormat="1" applyFont="1" applyBorder="1" applyAlignment="1">
      <alignment vertical="center"/>
    </xf>
    <xf numFmtId="0" fontId="111" fillId="0" borderId="0" xfId="0" applyFont="1"/>
    <xf numFmtId="164" fontId="38" fillId="0" borderId="1" xfId="1" applyNumberFormat="1" applyFont="1" applyBorder="1" applyAlignment="1">
      <alignment vertical="center"/>
    </xf>
    <xf numFmtId="41" fontId="110" fillId="0" borderId="1" xfId="0" applyNumberFormat="1" applyFont="1" applyBorder="1" applyAlignment="1">
      <alignment vertical="center"/>
    </xf>
    <xf numFmtId="0" fontId="110" fillId="3" borderId="1" xfId="0" applyFont="1" applyFill="1" applyBorder="1" applyAlignment="1">
      <alignment horizontal="left" vertical="center"/>
    </xf>
    <xf numFmtId="164" fontId="38" fillId="3" borderId="1" xfId="1" applyNumberFormat="1" applyFont="1" applyFill="1" applyBorder="1" applyAlignment="1">
      <alignment vertical="center"/>
    </xf>
    <xf numFmtId="41" fontId="110" fillId="3" borderId="1" xfId="0" applyNumberFormat="1" applyFont="1" applyFill="1" applyBorder="1" applyAlignment="1">
      <alignment vertical="center"/>
    </xf>
    <xf numFmtId="164" fontId="110" fillId="3" borderId="1" xfId="1" applyNumberFormat="1" applyFont="1" applyFill="1" applyBorder="1" applyAlignment="1">
      <alignment vertical="center"/>
    </xf>
    <xf numFmtId="0" fontId="111" fillId="3" borderId="0" xfId="0" applyFont="1" applyFill="1"/>
    <xf numFmtId="0" fontId="110" fillId="2" borderId="1" xfId="0" applyFont="1" applyFill="1" applyBorder="1" applyAlignment="1">
      <alignment horizontal="left" vertical="center"/>
    </xf>
    <xf numFmtId="164" fontId="38" fillId="2" borderId="1" xfId="1" applyNumberFormat="1" applyFont="1" applyFill="1" applyBorder="1" applyAlignment="1">
      <alignment vertical="center"/>
    </xf>
    <xf numFmtId="41" fontId="110" fillId="2" borderId="1" xfId="0" applyNumberFormat="1" applyFont="1" applyFill="1" applyBorder="1" applyAlignment="1">
      <alignment vertical="center"/>
    </xf>
    <xf numFmtId="164" fontId="110" fillId="2" borderId="1" xfId="1" applyNumberFormat="1" applyFont="1" applyFill="1" applyBorder="1" applyAlignment="1">
      <alignment vertical="center"/>
    </xf>
    <xf numFmtId="0" fontId="111" fillId="2" borderId="0" xfId="0" applyFont="1" applyFill="1"/>
    <xf numFmtId="164" fontId="38" fillId="2" borderId="5" xfId="1" applyNumberFormat="1" applyFont="1" applyFill="1" applyBorder="1" applyAlignment="1">
      <alignment vertical="center"/>
    </xf>
    <xf numFmtId="0" fontId="110" fillId="0" borderId="1" xfId="0" applyFont="1" applyFill="1" applyBorder="1" applyAlignment="1">
      <alignment horizontal="left" vertical="center"/>
    </xf>
    <xf numFmtId="164" fontId="38" fillId="0" borderId="1" xfId="1" applyNumberFormat="1" applyFont="1" applyFill="1" applyBorder="1" applyAlignment="1">
      <alignment vertical="center"/>
    </xf>
    <xf numFmtId="164" fontId="39" fillId="3" borderId="1" xfId="1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/>
    <xf numFmtId="3" fontId="28" fillId="0" borderId="1" xfId="0" applyNumberFormat="1" applyFont="1" applyBorder="1" applyAlignment="1">
      <alignment horizontal="right"/>
    </xf>
    <xf numFmtId="164" fontId="28" fillId="0" borderId="1" xfId="1" applyNumberFormat="1" applyFont="1" applyBorder="1"/>
    <xf numFmtId="164" fontId="60" fillId="0" borderId="1" xfId="1" applyNumberFormat="1" applyFont="1" applyBorder="1"/>
    <xf numFmtId="164" fontId="60" fillId="0" borderId="1" xfId="1" applyNumberFormat="1" applyFont="1" applyBorder="1" applyAlignment="1">
      <alignment horizontal="right"/>
    </xf>
    <xf numFmtId="0" fontId="60" fillId="0" borderId="1" xfId="1" applyNumberFormat="1" applyFont="1" applyBorder="1" applyAlignment="1">
      <alignment horizontal="left"/>
    </xf>
    <xf numFmtId="164" fontId="2" fillId="0" borderId="0" xfId="1" applyNumberFormat="1" applyFont="1" applyAlignment="1">
      <alignment horizontal="left"/>
    </xf>
    <xf numFmtId="0" fontId="53" fillId="2" borderId="1" xfId="1" applyNumberFormat="1" applyFont="1" applyFill="1" applyBorder="1" applyAlignment="1">
      <alignment horizontal="left"/>
    </xf>
    <xf numFmtId="0" fontId="92" fillId="2" borderId="1" xfId="1" applyNumberFormat="1" applyFont="1" applyFill="1" applyBorder="1" applyAlignment="1">
      <alignment horizontal="left" vertical="center"/>
    </xf>
    <xf numFmtId="0" fontId="28" fillId="0" borderId="1" xfId="0" quotePrefix="1" applyFont="1" applyBorder="1" applyAlignment="1">
      <alignment horizontal="left"/>
    </xf>
    <xf numFmtId="0" fontId="28" fillId="0" borderId="0" xfId="1" quotePrefix="1" applyNumberFormat="1" applyFont="1" applyAlignment="1">
      <alignment horizontal="left"/>
    </xf>
    <xf numFmtId="0" fontId="24" fillId="0" borderId="1" xfId="1" quotePrefix="1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1" fillId="0" borderId="1" xfId="0" applyFont="1" applyBorder="1" applyAlignment="1">
      <alignment vertical="center"/>
    </xf>
    <xf numFmtId="0" fontId="0" fillId="2" borderId="0" xfId="0" applyFill="1"/>
    <xf numFmtId="164" fontId="43" fillId="2" borderId="1" xfId="0" applyNumberFormat="1" applyFont="1" applyFill="1" applyBorder="1" applyAlignment="1">
      <alignment horizontal="left"/>
    </xf>
    <xf numFmtId="0" fontId="53" fillId="2" borderId="1" xfId="0" applyFont="1" applyFill="1" applyBorder="1" applyAlignment="1">
      <alignment horizontal="left"/>
    </xf>
    <xf numFmtId="164" fontId="53" fillId="2" borderId="1" xfId="0" applyNumberFormat="1" applyFont="1" applyFill="1" applyBorder="1" applyAlignment="1">
      <alignment horizontal="left"/>
    </xf>
    <xf numFmtId="0" fontId="117" fillId="0" borderId="1" xfId="0" applyFont="1" applyFill="1" applyBorder="1" applyAlignment="1">
      <alignment horizontal="left" vertical="center"/>
    </xf>
    <xf numFmtId="0" fontId="117" fillId="0" borderId="1" xfId="0" applyFont="1" applyFill="1" applyBorder="1" applyAlignment="1">
      <alignment vertical="center"/>
    </xf>
    <xf numFmtId="0" fontId="118" fillId="0" borderId="1" xfId="4" applyFont="1" applyFill="1" applyBorder="1" applyAlignment="1">
      <alignment horizontal="center" vertical="center"/>
    </xf>
    <xf numFmtId="164" fontId="119" fillId="0" borderId="1" xfId="1" applyNumberFormat="1" applyFont="1" applyFill="1" applyBorder="1" applyAlignment="1">
      <alignment horizontal="center" vertical="center"/>
    </xf>
    <xf numFmtId="164" fontId="118" fillId="0" borderId="0" xfId="1" applyNumberFormat="1" applyFont="1" applyFill="1" applyBorder="1" applyAlignment="1">
      <alignment horizontal="center" vertical="center"/>
    </xf>
    <xf numFmtId="164" fontId="119" fillId="0" borderId="0" xfId="1" applyNumberFormat="1" applyFont="1" applyBorder="1" applyAlignment="1">
      <alignment horizontal="center" vertical="center"/>
    </xf>
    <xf numFmtId="164" fontId="117" fillId="0" borderId="0" xfId="1" applyNumberFormat="1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120" fillId="0" borderId="1" xfId="0" applyFont="1" applyFill="1" applyBorder="1" applyAlignment="1">
      <alignment vertical="center"/>
    </xf>
    <xf numFmtId="164" fontId="120" fillId="0" borderId="1" xfId="1" applyNumberFormat="1" applyFont="1" applyFill="1" applyBorder="1" applyAlignment="1">
      <alignment vertical="center"/>
    </xf>
    <xf numFmtId="164" fontId="59" fillId="0" borderId="1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vertical="center"/>
    </xf>
    <xf numFmtId="164" fontId="119" fillId="0" borderId="0" xfId="1" applyNumberFormat="1" applyFont="1" applyFill="1" applyBorder="1" applyAlignment="1">
      <alignment horizontal="center" vertical="center"/>
    </xf>
    <xf numFmtId="0" fontId="59" fillId="0" borderId="1" xfId="4" applyFont="1" applyFill="1" applyBorder="1" applyAlignment="1">
      <alignment horizontal="left" vertical="center"/>
    </xf>
    <xf numFmtId="0" fontId="119" fillId="0" borderId="1" xfId="4" applyFont="1" applyFill="1" applyBorder="1" applyAlignment="1">
      <alignment horizontal="center" vertical="center"/>
    </xf>
    <xf numFmtId="0" fontId="59" fillId="0" borderId="1" xfId="4" applyFont="1" applyFill="1" applyBorder="1" applyAlignment="1">
      <alignment vertical="center"/>
    </xf>
    <xf numFmtId="0" fontId="24" fillId="0" borderId="1" xfId="4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164" fontId="121" fillId="0" borderId="0" xfId="1" applyNumberFormat="1" applyFont="1" applyFill="1" applyBorder="1" applyAlignment="1">
      <alignment vertical="center"/>
    </xf>
    <xf numFmtId="0" fontId="121" fillId="0" borderId="0" xfId="4" applyFont="1" applyFill="1" applyBorder="1" applyAlignment="1">
      <alignment vertical="center"/>
    </xf>
    <xf numFmtId="0" fontId="121" fillId="0" borderId="1" xfId="4" applyFont="1" applyFill="1" applyBorder="1" applyAlignment="1">
      <alignment horizontal="left" vertical="center"/>
    </xf>
    <xf numFmtId="0" fontId="121" fillId="0" borderId="1" xfId="4" applyFont="1" applyFill="1" applyBorder="1" applyAlignment="1">
      <alignment vertical="center"/>
    </xf>
    <xf numFmtId="164" fontId="117" fillId="0" borderId="1" xfId="1" applyNumberFormat="1" applyFont="1" applyFill="1" applyBorder="1" applyAlignment="1">
      <alignment vertical="center"/>
    </xf>
    <xf numFmtId="3" fontId="24" fillId="0" borderId="1" xfId="4" applyNumberFormat="1" applyFont="1" applyFill="1" applyBorder="1" applyAlignment="1">
      <alignment vertical="center"/>
    </xf>
    <xf numFmtId="3" fontId="122" fillId="0" borderId="1" xfId="4" applyNumberFormat="1" applyFont="1" applyFill="1" applyBorder="1" applyAlignment="1">
      <alignment vertical="center"/>
    </xf>
    <xf numFmtId="164" fontId="122" fillId="0" borderId="0" xfId="1" applyNumberFormat="1" applyFont="1" applyFill="1" applyBorder="1" applyAlignment="1">
      <alignment vertical="center"/>
    </xf>
    <xf numFmtId="3" fontId="118" fillId="0" borderId="1" xfId="4" applyNumberFormat="1" applyFont="1" applyFill="1" applyBorder="1" applyAlignment="1">
      <alignment vertical="center"/>
    </xf>
    <xf numFmtId="164" fontId="118" fillId="0" borderId="0" xfId="1" applyNumberFormat="1" applyFont="1" applyFill="1" applyBorder="1" applyAlignment="1">
      <alignment vertical="center"/>
    </xf>
    <xf numFmtId="164" fontId="59" fillId="0" borderId="0" xfId="1" applyNumberFormat="1" applyFont="1" applyFill="1" applyBorder="1" applyAlignment="1">
      <alignment vertical="center"/>
    </xf>
    <xf numFmtId="3" fontId="31" fillId="0" borderId="1" xfId="4" applyNumberFormat="1" applyFont="1" applyFill="1" applyBorder="1" applyAlignment="1">
      <alignment vertical="center"/>
    </xf>
    <xf numFmtId="164" fontId="117" fillId="0" borderId="19" xfId="1" applyNumberFormat="1" applyFont="1" applyFill="1" applyBorder="1" applyAlignment="1">
      <alignment vertical="center"/>
    </xf>
    <xf numFmtId="0" fontId="121" fillId="0" borderId="1" xfId="4" applyFont="1" applyBorder="1" applyAlignment="1">
      <alignment vertical="center"/>
    </xf>
    <xf numFmtId="3" fontId="123" fillId="0" borderId="1" xfId="4" applyNumberFormat="1" applyFont="1" applyFill="1" applyBorder="1" applyAlignment="1">
      <alignment vertical="center"/>
    </xf>
    <xf numFmtId="164" fontId="123" fillId="0" borderId="0" xfId="1" applyNumberFormat="1" applyFont="1" applyFill="1" applyBorder="1" applyAlignment="1">
      <alignment vertical="center"/>
    </xf>
    <xf numFmtId="164" fontId="124" fillId="0" borderId="0" xfId="1" applyNumberFormat="1" applyFont="1" applyFill="1" applyBorder="1" applyAlignment="1">
      <alignment vertical="center"/>
    </xf>
    <xf numFmtId="0" fontId="55" fillId="0" borderId="1" xfId="4" applyFont="1" applyFill="1" applyBorder="1" applyAlignment="1">
      <alignment horizontal="left" vertical="center"/>
    </xf>
    <xf numFmtId="164" fontId="125" fillId="0" borderId="0" xfId="1" applyNumberFormat="1" applyFont="1" applyFill="1" applyBorder="1" applyAlignment="1">
      <alignment vertical="center"/>
    </xf>
    <xf numFmtId="164" fontId="120" fillId="0" borderId="0" xfId="1" applyNumberFormat="1" applyFont="1" applyFill="1" applyBorder="1" applyAlignment="1">
      <alignment vertical="center"/>
    </xf>
    <xf numFmtId="0" fontId="55" fillId="0" borderId="0" xfId="4" applyFont="1" applyFill="1" applyBorder="1" applyAlignment="1">
      <alignment vertical="center"/>
    </xf>
    <xf numFmtId="164" fontId="125" fillId="0" borderId="1" xfId="1" applyNumberFormat="1" applyFont="1" applyFill="1" applyBorder="1" applyAlignment="1">
      <alignment vertical="center"/>
    </xf>
    <xf numFmtId="164" fontId="126" fillId="0" borderId="0" xfId="1" applyNumberFormat="1" applyFont="1" applyFill="1" applyBorder="1" applyAlignment="1">
      <alignment vertical="center"/>
    </xf>
    <xf numFmtId="164" fontId="126" fillId="0" borderId="1" xfId="1" applyNumberFormat="1" applyFont="1" applyFill="1" applyBorder="1" applyAlignment="1">
      <alignment vertical="center"/>
    </xf>
    <xf numFmtId="164" fontId="127" fillId="0" borderId="0" xfId="1" applyNumberFormat="1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164" fontId="121" fillId="0" borderId="0" xfId="1" applyNumberFormat="1" applyFont="1" applyBorder="1" applyAlignment="1">
      <alignment vertical="center"/>
    </xf>
    <xf numFmtId="164" fontId="117" fillId="0" borderId="0" xfId="1" applyNumberFormat="1" applyFont="1" applyBorder="1" applyAlignment="1">
      <alignment vertical="center"/>
    </xf>
    <xf numFmtId="164" fontId="124" fillId="0" borderId="0" xfId="1" applyNumberFormat="1" applyFont="1" applyBorder="1" applyAlignment="1">
      <alignment vertical="center"/>
    </xf>
    <xf numFmtId="164" fontId="24" fillId="3" borderId="0" xfId="1" applyNumberFormat="1" applyFont="1" applyFill="1" applyBorder="1" applyAlignment="1">
      <alignment vertical="center"/>
    </xf>
    <xf numFmtId="0" fontId="59" fillId="0" borderId="0" xfId="4" applyFont="1" applyFill="1" applyBorder="1" applyAlignment="1">
      <alignment vertical="center"/>
    </xf>
    <xf numFmtId="0" fontId="31" fillId="0" borderId="1" xfId="4" applyFont="1" applyFill="1" applyBorder="1" applyAlignment="1">
      <alignment vertical="center"/>
    </xf>
    <xf numFmtId="0" fontId="128" fillId="0" borderId="0" xfId="4" applyFont="1" applyFill="1" applyBorder="1" applyAlignment="1">
      <alignment vertical="center"/>
    </xf>
    <xf numFmtId="3" fontId="118" fillId="0" borderId="0" xfId="4" applyNumberFormat="1" applyFont="1" applyFill="1" applyBorder="1" applyAlignment="1">
      <alignment vertical="center"/>
    </xf>
    <xf numFmtId="164" fontId="117" fillId="0" borderId="0" xfId="0" applyNumberFormat="1" applyFont="1" applyFill="1" applyBorder="1" applyAlignment="1">
      <alignment vertical="center"/>
    </xf>
    <xf numFmtId="3" fontId="31" fillId="0" borderId="0" xfId="4" applyNumberFormat="1" applyFont="1" applyFill="1" applyBorder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3" fontId="24" fillId="3" borderId="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3" fontId="117" fillId="0" borderId="0" xfId="0" applyNumberFormat="1" applyFont="1" applyFill="1" applyBorder="1" applyAlignment="1">
      <alignment vertical="center"/>
    </xf>
    <xf numFmtId="43" fontId="117" fillId="0" borderId="1" xfId="1" applyFont="1" applyFill="1" applyBorder="1" applyAlignment="1">
      <alignment vertical="center"/>
    </xf>
    <xf numFmtId="3" fontId="122" fillId="0" borderId="0" xfId="4" applyNumberFormat="1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1" xfId="4" applyFont="1" applyFill="1" applyBorder="1" applyAlignment="1">
      <alignment vertical="center"/>
    </xf>
    <xf numFmtId="0" fontId="129" fillId="0" borderId="1" xfId="4" applyFont="1" applyFill="1" applyBorder="1" applyAlignment="1">
      <alignment horizontal="left" vertical="center"/>
    </xf>
    <xf numFmtId="164" fontId="130" fillId="0" borderId="0" xfId="1" applyNumberFormat="1" applyFont="1" applyFill="1" applyBorder="1" applyAlignment="1">
      <alignment vertical="center"/>
    </xf>
    <xf numFmtId="164" fontId="130" fillId="0" borderId="1" xfId="1" applyNumberFormat="1" applyFont="1" applyFill="1" applyBorder="1" applyAlignment="1">
      <alignment vertical="center"/>
    </xf>
    <xf numFmtId="37" fontId="118" fillId="0" borderId="0" xfId="4" applyNumberFormat="1" applyFont="1" applyFill="1" applyBorder="1" applyAlignment="1">
      <alignment vertical="center"/>
    </xf>
    <xf numFmtId="37" fontId="118" fillId="0" borderId="1" xfId="4" applyNumberFormat="1" applyFont="1" applyFill="1" applyBorder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17" fillId="0" borderId="0" xfId="0" applyFont="1" applyAlignment="1">
      <alignment horizontal="left" vertical="center"/>
    </xf>
    <xf numFmtId="0" fontId="126" fillId="0" borderId="0" xfId="0" applyFont="1" applyFill="1" applyAlignment="1">
      <alignment vertical="center"/>
    </xf>
    <xf numFmtId="164" fontId="117" fillId="0" borderId="0" xfId="1" applyNumberFormat="1" applyFont="1" applyAlignment="1">
      <alignment vertical="center"/>
    </xf>
    <xf numFmtId="0" fontId="43" fillId="2" borderId="1" xfId="1" applyNumberFormat="1" applyFont="1" applyFill="1" applyBorder="1" applyAlignment="1">
      <alignment horizontal="left"/>
    </xf>
    <xf numFmtId="164" fontId="43" fillId="2" borderId="1" xfId="1" applyNumberFormat="1" applyFont="1" applyFill="1" applyBorder="1" applyAlignment="1"/>
    <xf numFmtId="0" fontId="43" fillId="2" borderId="1" xfId="0" applyFont="1" applyFill="1" applyBorder="1"/>
    <xf numFmtId="164" fontId="24" fillId="2" borderId="0" xfId="1" applyNumberFormat="1" applyFont="1" applyFill="1" applyBorder="1"/>
    <xf numFmtId="0" fontId="24" fillId="2" borderId="0" xfId="0" applyFont="1" applyFill="1" applyBorder="1"/>
    <xf numFmtId="0" fontId="24" fillId="2" borderId="1" xfId="0" applyFont="1" applyFill="1" applyBorder="1"/>
    <xf numFmtId="0" fontId="43" fillId="2" borderId="1" xfId="0" applyFont="1" applyFill="1" applyBorder="1" applyAlignment="1">
      <alignment horizontal="center"/>
    </xf>
    <xf numFmtId="164" fontId="43" fillId="2" borderId="0" xfId="1" applyNumberFormat="1" applyFont="1" applyFill="1" applyBorder="1"/>
    <xf numFmtId="0" fontId="24" fillId="2" borderId="0" xfId="0" applyFont="1" applyFill="1"/>
    <xf numFmtId="164" fontId="53" fillId="2" borderId="1" xfId="0" applyNumberFormat="1" applyFont="1" applyFill="1" applyBorder="1" applyAlignment="1">
      <alignment horizontal="right"/>
    </xf>
    <xf numFmtId="164" fontId="115" fillId="2" borderId="1" xfId="1" applyNumberFormat="1" applyFont="1" applyFill="1" applyBorder="1" applyAlignment="1">
      <alignment horizontal="right"/>
    </xf>
    <xf numFmtId="0" fontId="53" fillId="2" borderId="1" xfId="1" applyNumberFormat="1" applyFont="1" applyFill="1" applyBorder="1"/>
    <xf numFmtId="164" fontId="31" fillId="2" borderId="0" xfId="1" applyNumberFormat="1" applyFont="1" applyFill="1" applyBorder="1"/>
    <xf numFmtId="0" fontId="24" fillId="2" borderId="0" xfId="0" applyNumberFormat="1" applyFont="1" applyFill="1"/>
    <xf numFmtId="164" fontId="43" fillId="2" borderId="1" xfId="1" applyNumberFormat="1" applyFont="1" applyFill="1" applyBorder="1" applyAlignment="1">
      <alignment vertical="top"/>
    </xf>
    <xf numFmtId="0" fontId="0" fillId="2" borderId="1" xfId="0" applyFill="1" applyBorder="1"/>
    <xf numFmtId="164" fontId="14" fillId="2" borderId="0" xfId="1" applyNumberFormat="1" applyFont="1" applyFill="1"/>
    <xf numFmtId="0" fontId="5" fillId="2" borderId="0" xfId="0" applyFont="1" applyFill="1"/>
    <xf numFmtId="164" fontId="4" fillId="2" borderId="0" xfId="1" applyNumberFormat="1" applyFont="1" applyFill="1"/>
    <xf numFmtId="164" fontId="54" fillId="2" borderId="0" xfId="1" applyNumberFormat="1" applyFont="1" applyFill="1"/>
    <xf numFmtId="0" fontId="55" fillId="2" borderId="0" xfId="0" applyFont="1" applyFill="1"/>
    <xf numFmtId="164" fontId="13" fillId="2" borderId="1" xfId="1" applyNumberFormat="1" applyFont="1" applyFill="1" applyBorder="1"/>
    <xf numFmtId="164" fontId="13" fillId="2" borderId="0" xfId="1" applyNumberFormat="1" applyFont="1" applyFill="1"/>
    <xf numFmtId="0" fontId="22" fillId="2" borderId="0" xfId="1" applyNumberFormat="1" applyFont="1" applyFill="1"/>
    <xf numFmtId="164" fontId="22" fillId="2" borderId="0" xfId="1" applyNumberFormat="1" applyFont="1" applyFill="1"/>
    <xf numFmtId="164" fontId="22" fillId="2" borderId="0" xfId="1" applyNumberFormat="1" applyFont="1" applyFill="1" applyBorder="1"/>
    <xf numFmtId="164" fontId="42" fillId="2" borderId="0" xfId="1" applyNumberFormat="1" applyFont="1" applyFill="1"/>
    <xf numFmtId="0" fontId="13" fillId="2" borderId="0" xfId="1" applyNumberFormat="1" applyFont="1" applyFill="1"/>
    <xf numFmtId="164" fontId="10" fillId="2" borderId="0" xfId="1" applyNumberFormat="1" applyFont="1" applyFill="1" applyBorder="1"/>
    <xf numFmtId="164" fontId="16" fillId="2" borderId="0" xfId="1" applyNumberFormat="1" applyFont="1" applyFill="1" applyBorder="1"/>
    <xf numFmtId="164" fontId="12" fillId="2" borderId="0" xfId="1" applyNumberFormat="1" applyFont="1" applyFill="1"/>
    <xf numFmtId="0" fontId="29" fillId="2" borderId="0" xfId="1" applyNumberFormat="1" applyFont="1" applyFill="1" applyAlignment="1">
      <alignment horizontal="left"/>
    </xf>
    <xf numFmtId="164" fontId="29" fillId="2" borderId="0" xfId="1" applyNumberFormat="1" applyFont="1" applyFill="1"/>
    <xf numFmtId="164" fontId="29" fillId="2" borderId="0" xfId="1" applyNumberFormat="1" applyFont="1" applyFill="1" applyBorder="1"/>
    <xf numFmtId="164" fontId="42" fillId="2" borderId="0" xfId="1" applyNumberFormat="1" applyFont="1" applyFill="1" applyBorder="1"/>
    <xf numFmtId="0" fontId="10" fillId="2" borderId="0" xfId="1" applyNumberFormat="1" applyFont="1" applyFill="1" applyBorder="1"/>
    <xf numFmtId="164" fontId="52" fillId="2" borderId="0" xfId="1" applyNumberFormat="1" applyFont="1" applyFill="1"/>
    <xf numFmtId="164" fontId="52" fillId="2" borderId="0" xfId="1" applyNumberFormat="1" applyFont="1" applyFill="1" applyAlignment="1">
      <alignment horizontal="center"/>
    </xf>
    <xf numFmtId="164" fontId="116" fillId="2" borderId="0" xfId="1" applyNumberFormat="1" applyFont="1" applyFill="1"/>
    <xf numFmtId="0" fontId="62" fillId="2" borderId="0" xfId="0" applyFont="1" applyFill="1"/>
    <xf numFmtId="0" fontId="52" fillId="2" borderId="0" xfId="1" applyNumberFormat="1" applyFont="1" applyFill="1"/>
    <xf numFmtId="164" fontId="52" fillId="2" borderId="0" xfId="1" applyNumberFormat="1" applyFont="1" applyFill="1" applyBorder="1"/>
    <xf numFmtId="164" fontId="10" fillId="2" borderId="1" xfId="1" applyNumberFormat="1" applyFont="1" applyFill="1" applyBorder="1"/>
    <xf numFmtId="164" fontId="10" fillId="2" borderId="0" xfId="1" applyNumberFormat="1" applyFont="1" applyFill="1"/>
    <xf numFmtId="0" fontId="84" fillId="2" borderId="1" xfId="0" applyNumberFormat="1" applyFont="1" applyFill="1" applyBorder="1" applyAlignment="1">
      <alignment horizontal="left" wrapText="1"/>
    </xf>
    <xf numFmtId="0" fontId="84" fillId="2" borderId="1" xfId="0" applyFont="1" applyFill="1" applyBorder="1" applyAlignment="1">
      <alignment vertical="top" wrapText="1"/>
    </xf>
    <xf numFmtId="0" fontId="10" fillId="2" borderId="0" xfId="1" applyNumberFormat="1" applyFont="1" applyFill="1"/>
    <xf numFmtId="164" fontId="10" fillId="2" borderId="0" xfId="1" applyNumberFormat="1" applyFont="1" applyFill="1" applyAlignment="1">
      <alignment horizontal="center"/>
    </xf>
    <xf numFmtId="164" fontId="11" fillId="2" borderId="1" xfId="1" applyNumberFormat="1" applyFont="1" applyFill="1" applyBorder="1"/>
    <xf numFmtId="164" fontId="11" fillId="2" borderId="0" xfId="1" applyNumberFormat="1" applyFont="1" applyFill="1"/>
    <xf numFmtId="0" fontId="43" fillId="2" borderId="1" xfId="1" applyNumberFormat="1" applyFont="1" applyFill="1" applyBorder="1" applyAlignment="1"/>
    <xf numFmtId="0" fontId="13" fillId="2" borderId="1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1" fillId="2" borderId="0" xfId="0" applyNumberFormat="1" applyFont="1" applyFill="1" applyAlignment="1"/>
    <xf numFmtId="0" fontId="11" fillId="2" borderId="0" xfId="0" applyFont="1" applyFill="1"/>
    <xf numFmtId="0" fontId="131" fillId="2" borderId="1" xfId="0" applyFont="1" applyFill="1" applyBorder="1"/>
    <xf numFmtId="0" fontId="131" fillId="2" borderId="1" xfId="0" applyFont="1" applyFill="1" applyBorder="1" applyAlignment="1">
      <alignment horizontal="center"/>
    </xf>
    <xf numFmtId="0" fontId="115" fillId="2" borderId="1" xfId="0" applyFont="1" applyFill="1" applyBorder="1" applyAlignment="1">
      <alignment horizontal="left"/>
    </xf>
    <xf numFmtId="0" fontId="115" fillId="2" borderId="1" xfId="0" applyFont="1" applyFill="1" applyBorder="1" applyAlignment="1">
      <alignment horizontal="center"/>
    </xf>
    <xf numFmtId="164" fontId="115" fillId="2" borderId="1" xfId="0" applyNumberFormat="1" applyFont="1" applyFill="1" applyBorder="1"/>
    <xf numFmtId="43" fontId="115" fillId="2" borderId="1" xfId="1" applyFont="1" applyFill="1" applyBorder="1"/>
    <xf numFmtId="0" fontId="115" fillId="2" borderId="1" xfId="0" applyFont="1" applyFill="1" applyBorder="1"/>
    <xf numFmtId="0" fontId="84" fillId="2" borderId="1" xfId="0" applyFont="1" applyFill="1" applyBorder="1"/>
    <xf numFmtId="164" fontId="84" fillId="2" borderId="1" xfId="0" applyNumberFormat="1" applyFont="1" applyFill="1" applyBorder="1"/>
    <xf numFmtId="0" fontId="132" fillId="2" borderId="0" xfId="0" applyFont="1" applyFill="1"/>
    <xf numFmtId="0" fontId="0" fillId="2" borderId="0" xfId="0" applyFill="1" applyAlignment="1">
      <alignment horizontal="center"/>
    </xf>
    <xf numFmtId="0" fontId="43" fillId="2" borderId="1" xfId="0" applyNumberFormat="1" applyFont="1" applyFill="1" applyBorder="1"/>
    <xf numFmtId="0" fontId="43" fillId="2" borderId="1" xfId="0" applyFont="1" applyFill="1" applyBorder="1" applyAlignment="1">
      <alignment horizontal="left"/>
    </xf>
    <xf numFmtId="0" fontId="62" fillId="2" borderId="0" xfId="0" applyNumberFormat="1" applyFont="1" applyFill="1"/>
    <xf numFmtId="0" fontId="53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164" fontId="14" fillId="2" borderId="0" xfId="1" applyNumberFormat="1" applyFont="1" applyFill="1" applyBorder="1"/>
    <xf numFmtId="0" fontId="25" fillId="2" borderId="0" xfId="0" applyNumberFormat="1" applyFont="1" applyFill="1"/>
    <xf numFmtId="0" fontId="25" fillId="2" borderId="0" xfId="0" applyFont="1" applyFill="1"/>
    <xf numFmtId="164" fontId="13" fillId="2" borderId="0" xfId="0" applyNumberFormat="1" applyFont="1" applyFill="1"/>
    <xf numFmtId="164" fontId="25" fillId="2" borderId="0" xfId="0" applyNumberFormat="1" applyFont="1" applyFill="1"/>
    <xf numFmtId="0" fontId="53" fillId="2" borderId="0" xfId="0" applyFont="1" applyFill="1"/>
    <xf numFmtId="0" fontId="53" fillId="2" borderId="0" xfId="0" applyNumberFormat="1" applyFont="1" applyFill="1"/>
    <xf numFmtId="164" fontId="43" fillId="2" borderId="0" xfId="1" applyNumberFormat="1" applyFont="1" applyFill="1"/>
    <xf numFmtId="164" fontId="53" fillId="2" borderId="0" xfId="1" applyNumberFormat="1" applyFont="1" applyFill="1"/>
    <xf numFmtId="0" fontId="84" fillId="2" borderId="1" xfId="0" applyNumberFormat="1" applyFont="1" applyFill="1" applyBorder="1" applyAlignment="1">
      <alignment horizontal="left" vertical="top" wrapText="1"/>
    </xf>
    <xf numFmtId="164" fontId="55" fillId="2" borderId="0" xfId="1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4" fontId="43" fillId="2" borderId="1" xfId="0" applyNumberFormat="1" applyFont="1" applyFill="1" applyBorder="1" applyAlignment="1">
      <alignment horizontal="center"/>
    </xf>
    <xf numFmtId="0" fontId="53" fillId="2" borderId="1" xfId="0" applyNumberFormat="1" applyFont="1" applyFill="1" applyBorder="1" applyAlignment="1">
      <alignment horizontal="left" vertical="top" wrapText="1"/>
    </xf>
    <xf numFmtId="0" fontId="53" fillId="2" borderId="1" xfId="0" applyFont="1" applyFill="1" applyBorder="1" applyAlignment="1">
      <alignment vertical="top" wrapText="1"/>
    </xf>
    <xf numFmtId="0" fontId="0" fillId="2" borderId="0" xfId="0" applyNumberFormat="1" applyFill="1"/>
    <xf numFmtId="0" fontId="48" fillId="2" borderId="0" xfId="0" applyFont="1" applyFill="1" applyAlignment="1">
      <alignment horizontal="right"/>
    </xf>
    <xf numFmtId="0" fontId="36" fillId="2" borderId="0" xfId="0" applyFont="1" applyFill="1"/>
    <xf numFmtId="0" fontId="29" fillId="2" borderId="0" xfId="0" applyNumberFormat="1" applyFont="1" applyFill="1"/>
    <xf numFmtId="0" fontId="13" fillId="2" borderId="0" xfId="0" applyFont="1" applyFill="1" applyAlignment="1"/>
    <xf numFmtId="3" fontId="13" fillId="2" borderId="0" xfId="0" applyNumberFormat="1" applyFont="1" applyFill="1" applyAlignment="1"/>
    <xf numFmtId="0" fontId="43" fillId="2" borderId="1" xfId="0" applyNumberFormat="1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43" fillId="2" borderId="1" xfId="1" applyNumberFormat="1" applyFont="1" applyFill="1" applyBorder="1" applyAlignment="1">
      <alignment horizontal="left" vertical="center"/>
    </xf>
    <xf numFmtId="0" fontId="53" fillId="2" borderId="1" xfId="1" applyNumberFormat="1" applyFont="1" applyFill="1" applyBorder="1" applyAlignment="1">
      <alignment horizontal="left" vertical="center"/>
    </xf>
    <xf numFmtId="164" fontId="53" fillId="2" borderId="1" xfId="0" applyNumberFormat="1" applyFont="1" applyFill="1" applyBorder="1" applyAlignment="1">
      <alignment vertical="center"/>
    </xf>
    <xf numFmtId="164" fontId="43" fillId="2" borderId="1" xfId="0" applyNumberFormat="1" applyFont="1" applyFill="1" applyBorder="1" applyAlignment="1">
      <alignment vertical="center"/>
    </xf>
    <xf numFmtId="0" fontId="53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43" fillId="2" borderId="1" xfId="0" applyNumberFormat="1" applyFont="1" applyFill="1" applyBorder="1" applyAlignment="1">
      <alignment horizontal="left" vertical="center"/>
    </xf>
    <xf numFmtId="3" fontId="53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0" fontId="13" fillId="2" borderId="0" xfId="0" applyNumberFormat="1" applyFont="1" applyFill="1"/>
    <xf numFmtId="0" fontId="55" fillId="2" borderId="0" xfId="0" applyFont="1" applyFill="1" applyAlignment="1">
      <alignment vertical="center"/>
    </xf>
    <xf numFmtId="164" fontId="43" fillId="2" borderId="1" xfId="1" applyNumberFormat="1" applyFont="1" applyFill="1" applyBorder="1" applyAlignment="1">
      <alignment horizontal="center" vertical="center"/>
    </xf>
    <xf numFmtId="0" fontId="53" fillId="2" borderId="1" xfId="0" applyNumberFormat="1" applyFont="1" applyFill="1" applyBorder="1" applyAlignment="1">
      <alignment horizontal="left" wrapText="1"/>
    </xf>
    <xf numFmtId="0" fontId="53" fillId="2" borderId="1" xfId="0" applyFont="1" applyFill="1" applyBorder="1" applyAlignment="1">
      <alignment vertical="center" wrapText="1"/>
    </xf>
    <xf numFmtId="3" fontId="53" fillId="2" borderId="1" xfId="0" applyNumberFormat="1" applyFont="1" applyFill="1" applyBorder="1" applyAlignment="1">
      <alignment vertical="center"/>
    </xf>
    <xf numFmtId="3" fontId="43" fillId="2" borderId="1" xfId="0" applyNumberFormat="1" applyFont="1" applyFill="1" applyBorder="1" applyAlignment="1">
      <alignment vertical="center"/>
    </xf>
    <xf numFmtId="0" fontId="55" fillId="2" borderId="0" xfId="0" applyNumberFormat="1" applyFont="1" applyFill="1" applyAlignment="1">
      <alignment vertical="center"/>
    </xf>
    <xf numFmtId="164" fontId="55" fillId="2" borderId="0" xfId="1" applyNumberFormat="1" applyFont="1" applyFill="1" applyAlignment="1">
      <alignment vertical="center"/>
    </xf>
    <xf numFmtId="0" fontId="85" fillId="2" borderId="1" xfId="0" applyFont="1" applyFill="1" applyBorder="1"/>
    <xf numFmtId="0" fontId="85" fillId="2" borderId="1" xfId="0" applyFont="1" applyFill="1" applyBorder="1" applyAlignment="1">
      <alignment horizontal="center"/>
    </xf>
    <xf numFmtId="0" fontId="17" fillId="2" borderId="0" xfId="0" applyFont="1" applyFill="1"/>
    <xf numFmtId="41" fontId="13" fillId="2" borderId="0" xfId="0" applyNumberFormat="1" applyFont="1" applyFill="1"/>
    <xf numFmtId="0" fontId="53" fillId="2" borderId="1" xfId="0" applyFont="1" applyFill="1" applyBorder="1" applyAlignment="1">
      <alignment horizontal="center"/>
    </xf>
    <xf numFmtId="0" fontId="91" fillId="2" borderId="1" xfId="0" applyFont="1" applyFill="1" applyBorder="1" applyAlignment="1">
      <alignment horizontal="left" vertical="center"/>
    </xf>
    <xf numFmtId="0" fontId="91" fillId="2" borderId="1" xfId="0" applyFont="1" applyFill="1" applyBorder="1" applyAlignment="1">
      <alignment vertical="center"/>
    </xf>
    <xf numFmtId="0" fontId="91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1" fillId="2" borderId="1" xfId="1" applyNumberFormat="1" applyFont="1" applyFill="1" applyBorder="1" applyAlignment="1">
      <alignment horizontal="left" vertical="center"/>
    </xf>
    <xf numFmtId="0" fontId="92" fillId="2" borderId="1" xfId="0" applyFont="1" applyFill="1" applyBorder="1" applyAlignment="1">
      <alignment vertical="center"/>
    </xf>
    <xf numFmtId="0" fontId="93" fillId="2" borderId="1" xfId="0" applyNumberFormat="1" applyFont="1" applyFill="1" applyBorder="1" applyAlignment="1">
      <alignment horizontal="left" vertical="center" wrapText="1"/>
    </xf>
    <xf numFmtId="0" fontId="93" fillId="2" borderId="1" xfId="0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43" fillId="2" borderId="1" xfId="0" applyNumberFormat="1" applyFont="1" applyFill="1" applyBorder="1" applyAlignment="1">
      <alignment horizontal="left"/>
    </xf>
    <xf numFmtId="41" fontId="53" fillId="2" borderId="0" xfId="1" applyNumberFormat="1" applyFont="1" applyFill="1" applyBorder="1"/>
    <xf numFmtId="0" fontId="67" fillId="2" borderId="18" xfId="1" applyNumberFormat="1" applyFont="1" applyFill="1" applyBorder="1" applyAlignment="1">
      <alignment vertical="center"/>
    </xf>
    <xf numFmtId="164" fontId="67" fillId="2" borderId="14" xfId="1" applyNumberFormat="1" applyFont="1" applyFill="1" applyBorder="1" applyAlignment="1">
      <alignment vertical="center"/>
    </xf>
    <xf numFmtId="0" fontId="50" fillId="2" borderId="0" xfId="0" applyFont="1" applyFill="1"/>
    <xf numFmtId="0" fontId="91" fillId="2" borderId="1" xfId="0" applyNumberFormat="1" applyFont="1" applyFill="1" applyBorder="1" applyAlignment="1">
      <alignment vertical="center"/>
    </xf>
    <xf numFmtId="0" fontId="91" fillId="2" borderId="1" xfId="0" applyFont="1" applyFill="1" applyBorder="1" applyAlignment="1">
      <alignment horizontal="right" vertical="center"/>
    </xf>
    <xf numFmtId="164" fontId="14" fillId="2" borderId="0" xfId="0" applyNumberFormat="1" applyFont="1" applyFill="1"/>
    <xf numFmtId="0" fontId="19" fillId="2" borderId="2" xfId="1" applyNumberFormat="1" applyFont="1" applyFill="1" applyBorder="1"/>
    <xf numFmtId="0" fontId="13" fillId="2" borderId="0" xfId="0" applyFont="1" applyFill="1" applyAlignment="1">
      <alignment horizontal="right"/>
    </xf>
    <xf numFmtId="0" fontId="43" fillId="2" borderId="1" xfId="1" applyNumberFormat="1" applyFont="1" applyFill="1" applyBorder="1"/>
    <xf numFmtId="164" fontId="43" fillId="2" borderId="1" xfId="1" applyNumberFormat="1" applyFont="1" applyFill="1" applyBorder="1" applyAlignment="1">
      <alignment horizontal="center" wrapText="1"/>
    </xf>
    <xf numFmtId="0" fontId="53" fillId="2" borderId="1" xfId="0" applyFont="1" applyFill="1" applyBorder="1" applyAlignment="1">
      <alignment horizontal="right"/>
    </xf>
    <xf numFmtId="0" fontId="72" fillId="2" borderId="0" xfId="0" applyFont="1" applyFill="1"/>
    <xf numFmtId="0" fontId="72" fillId="2" borderId="0" xfId="0" applyNumberFormat="1" applyFont="1" applyFill="1"/>
    <xf numFmtId="164" fontId="72" fillId="2" borderId="0" xfId="1" applyNumberFormat="1" applyFont="1" applyFill="1"/>
    <xf numFmtId="0" fontId="31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29" fillId="2" borderId="0" xfId="0" applyFont="1" applyFill="1"/>
    <xf numFmtId="0" fontId="31" fillId="2" borderId="1" xfId="1" applyNumberFormat="1" applyFont="1" applyFill="1" applyBorder="1" applyAlignment="1">
      <alignment horizontal="left" vertical="center"/>
    </xf>
    <xf numFmtId="164" fontId="31" fillId="2" borderId="1" xfId="1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0" fontId="24" fillId="2" borderId="1" xfId="1" applyNumberFormat="1" applyFont="1" applyFill="1" applyBorder="1" applyAlignment="1">
      <alignment horizontal="left" vertical="center"/>
    </xf>
    <xf numFmtId="164" fontId="24" fillId="2" borderId="1" xfId="0" applyNumberFormat="1" applyFont="1" applyFill="1" applyBorder="1" applyAlignment="1">
      <alignment vertical="center"/>
    </xf>
    <xf numFmtId="164" fontId="31" fillId="2" borderId="1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vertical="center"/>
    </xf>
    <xf numFmtId="0" fontId="59" fillId="2" borderId="1" xfId="0" applyNumberFormat="1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vertical="center" wrapText="1"/>
    </xf>
    <xf numFmtId="164" fontId="43" fillId="2" borderId="1" xfId="1" applyNumberFormat="1" applyFont="1" applyFill="1" applyBorder="1" applyAlignment="1">
      <alignment horizontal="left" vertical="center"/>
    </xf>
    <xf numFmtId="0" fontId="53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0" xfId="0" applyNumberFormat="1" applyFont="1" applyFill="1"/>
    <xf numFmtId="164" fontId="9" fillId="2" borderId="0" xfId="1" applyNumberFormat="1" applyFont="1" applyFill="1"/>
    <xf numFmtId="164" fontId="89" fillId="2" borderId="1" xfId="1" applyNumberFormat="1" applyFont="1" applyFill="1" applyBorder="1"/>
    <xf numFmtId="164" fontId="28" fillId="2" borderId="0" xfId="1" applyNumberFormat="1" applyFont="1" applyFill="1" applyAlignment="1">
      <alignment horizontal="center"/>
    </xf>
    <xf numFmtId="164" fontId="29" fillId="2" borderId="1" xfId="1" applyNumberFormat="1" applyFont="1" applyFill="1" applyBorder="1"/>
    <xf numFmtId="3" fontId="29" fillId="2" borderId="0" xfId="0" applyNumberFormat="1" applyFont="1" applyFill="1"/>
    <xf numFmtId="0" fontId="13" fillId="2" borderId="0" xfId="0" applyFont="1" applyFill="1" applyBorder="1"/>
    <xf numFmtId="0" fontId="20" fillId="2" borderId="0" xfId="0" applyNumberFormat="1" applyFont="1" applyFill="1"/>
    <xf numFmtId="0" fontId="56" fillId="2" borderId="0" xfId="0" applyFont="1" applyFill="1"/>
    <xf numFmtId="0" fontId="20" fillId="2" borderId="0" xfId="0" applyFont="1" applyFill="1"/>
    <xf numFmtId="0" fontId="27" fillId="2" borderId="0" xfId="0" applyFont="1" applyFill="1"/>
    <xf numFmtId="0" fontId="35" fillId="2" borderId="0" xfId="0" applyFont="1" applyFill="1"/>
    <xf numFmtId="0" fontId="21" fillId="2" borderId="0" xfId="0" applyFont="1" applyFill="1"/>
    <xf numFmtId="0" fontId="15" fillId="2" borderId="0" xfId="0" applyFont="1" applyFill="1"/>
    <xf numFmtId="3" fontId="53" fillId="2" borderId="1" xfId="1" applyNumberFormat="1" applyFont="1" applyFill="1" applyBorder="1" applyAlignment="1">
      <alignment horizontal="left"/>
    </xf>
    <xf numFmtId="0" fontId="53" fillId="2" borderId="1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right"/>
    </xf>
    <xf numFmtId="3" fontId="43" fillId="2" borderId="1" xfId="1" applyNumberFormat="1" applyFont="1" applyFill="1" applyBorder="1" applyAlignment="1">
      <alignment horizontal="right"/>
    </xf>
    <xf numFmtId="3" fontId="53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38" fillId="2" borderId="1" xfId="0" applyFont="1" applyFill="1" applyBorder="1"/>
    <xf numFmtId="0" fontId="38" fillId="2" borderId="1" xfId="1" applyNumberFormat="1" applyFont="1" applyFill="1" applyBorder="1" applyAlignment="1">
      <alignment horizontal="left"/>
    </xf>
    <xf numFmtId="164" fontId="38" fillId="2" borderId="1" xfId="1" applyNumberFormat="1" applyFont="1" applyFill="1" applyBorder="1" applyAlignment="1">
      <alignment horizontal="left"/>
    </xf>
    <xf numFmtId="0" fontId="38" fillId="2" borderId="1" xfId="0" applyFont="1" applyFill="1" applyBorder="1" applyAlignment="1">
      <alignment horizontal="center"/>
    </xf>
    <xf numFmtId="164" fontId="38" fillId="2" borderId="1" xfId="1" applyNumberFormat="1" applyFont="1" applyFill="1" applyBorder="1" applyAlignment="1">
      <alignment horizontal="center"/>
    </xf>
    <xf numFmtId="164" fontId="37" fillId="2" borderId="1" xfId="0" applyNumberFormat="1" applyFont="1" applyFill="1" applyBorder="1"/>
    <xf numFmtId="0" fontId="37" fillId="2" borderId="1" xfId="1" applyNumberFormat="1" applyFont="1" applyFill="1" applyBorder="1" applyAlignment="1">
      <alignment horizontal="left"/>
    </xf>
    <xf numFmtId="3" fontId="37" fillId="2" borderId="1" xfId="1" applyNumberFormat="1" applyFont="1" applyFill="1" applyBorder="1"/>
    <xf numFmtId="0" fontId="37" fillId="2" borderId="1" xfId="0" applyFont="1" applyFill="1" applyBorder="1"/>
    <xf numFmtId="3" fontId="38" fillId="2" borderId="1" xfId="0" applyNumberFormat="1" applyFont="1" applyFill="1" applyBorder="1"/>
    <xf numFmtId="0" fontId="1" fillId="2" borderId="0" xfId="0" applyFont="1" applyFill="1"/>
    <xf numFmtId="3" fontId="53" fillId="2" borderId="1" xfId="0" applyNumberFormat="1" applyFont="1" applyFill="1" applyBorder="1" applyAlignment="1"/>
    <xf numFmtId="0" fontId="43" fillId="2" borderId="1" xfId="1" applyNumberFormat="1" applyFont="1" applyFill="1" applyBorder="1" applyAlignment="1">
      <alignment horizontal="right"/>
    </xf>
    <xf numFmtId="0" fontId="90" fillId="2" borderId="0" xfId="6" applyFill="1"/>
    <xf numFmtId="43" fontId="53" fillId="2" borderId="1" xfId="1" applyFont="1" applyFill="1" applyBorder="1" applyAlignment="1">
      <alignment horizontal="right"/>
    </xf>
    <xf numFmtId="0" fontId="49" fillId="2" borderId="0" xfId="0" applyFont="1" applyFill="1"/>
    <xf numFmtId="164" fontId="50" fillId="2" borderId="0" xfId="1" applyNumberFormat="1" applyFont="1" applyFill="1"/>
    <xf numFmtId="0" fontId="44" fillId="2" borderId="0" xfId="0" applyFont="1" applyFill="1"/>
    <xf numFmtId="0" fontId="53" fillId="2" borderId="1" xfId="2" applyNumberFormat="1" applyFont="1" applyFill="1" applyBorder="1" applyAlignment="1">
      <alignment horizontal="left" vertical="center"/>
    </xf>
    <xf numFmtId="0" fontId="62" fillId="2" borderId="1" xfId="0" applyFont="1" applyFill="1" applyBorder="1" applyAlignment="1">
      <alignment vertical="center"/>
    </xf>
    <xf numFmtId="43" fontId="62" fillId="2" borderId="1" xfId="1" applyFont="1" applyFill="1" applyBorder="1" applyAlignment="1">
      <alignment vertical="center"/>
    </xf>
    <xf numFmtId="0" fontId="62" fillId="2" borderId="0" xfId="0" applyFont="1" applyFill="1" applyAlignment="1">
      <alignment vertical="center"/>
    </xf>
    <xf numFmtId="0" fontId="43" fillId="2" borderId="1" xfId="2" applyNumberFormat="1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0" fontId="52" fillId="2" borderId="0" xfId="0" applyFont="1" applyFill="1" applyAlignment="1">
      <alignment vertical="center"/>
    </xf>
    <xf numFmtId="0" fontId="43" fillId="2" borderId="1" xfId="2" applyNumberFormat="1" applyFont="1" applyFill="1" applyBorder="1" applyAlignment="1">
      <alignment horizontal="left" vertical="center"/>
    </xf>
    <xf numFmtId="164" fontId="43" fillId="2" borderId="1" xfId="2" applyNumberFormat="1" applyFont="1" applyFill="1" applyBorder="1" applyAlignment="1">
      <alignment horizontal="center" vertical="center"/>
    </xf>
    <xf numFmtId="0" fontId="53" fillId="2" borderId="1" xfId="2" applyNumberFormat="1" applyFont="1" applyFill="1" applyBorder="1" applyAlignment="1">
      <alignment vertical="center"/>
    </xf>
    <xf numFmtId="164" fontId="62" fillId="2" borderId="1" xfId="1" applyNumberFormat="1" applyFont="1" applyFill="1" applyBorder="1"/>
    <xf numFmtId="164" fontId="62" fillId="2" borderId="0" xfId="0" applyNumberFormat="1" applyFont="1" applyFill="1"/>
    <xf numFmtId="164" fontId="62" fillId="2" borderId="0" xfId="1" applyNumberFormat="1" applyFont="1" applyFill="1"/>
    <xf numFmtId="164" fontId="53" fillId="2" borderId="13" xfId="1" applyNumberFormat="1" applyFont="1" applyFill="1" applyBorder="1" applyAlignment="1">
      <alignment horizontal="right"/>
    </xf>
    <xf numFmtId="164" fontId="53" fillId="2" borderId="0" xfId="1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164" fontId="28" fillId="2" borderId="0" xfId="1" applyNumberFormat="1" applyFont="1" applyFill="1" applyAlignment="1">
      <alignment horizontal="left"/>
    </xf>
    <xf numFmtId="0" fontId="28" fillId="2" borderId="0" xfId="0" applyFont="1" applyFill="1" applyAlignment="1">
      <alignment horizontal="left"/>
    </xf>
    <xf numFmtId="164" fontId="29" fillId="2" borderId="0" xfId="0" applyNumberFormat="1" applyFont="1" applyFill="1" applyAlignment="1">
      <alignment horizontal="left"/>
    </xf>
    <xf numFmtId="164" fontId="34" fillId="2" borderId="0" xfId="0" applyNumberFormat="1" applyFont="1" applyFill="1" applyBorder="1"/>
    <xf numFmtId="164" fontId="34" fillId="2" borderId="0" xfId="1" applyNumberFormat="1" applyFont="1" applyFill="1" applyBorder="1"/>
    <xf numFmtId="0" fontId="43" fillId="2" borderId="1" xfId="0" applyNumberFormat="1" applyFont="1" applyFill="1" applyBorder="1" applyAlignment="1"/>
    <xf numFmtId="0" fontId="43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42" fillId="2" borderId="0" xfId="0" applyFont="1" applyFill="1"/>
    <xf numFmtId="0" fontId="28" fillId="0" borderId="0" xfId="1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60" fillId="0" borderId="0" xfId="1" applyNumberFormat="1" applyFont="1" applyAlignment="1">
      <alignment horizontal="left"/>
    </xf>
    <xf numFmtId="164" fontId="28" fillId="0" borderId="0" xfId="1" applyNumberFormat="1" applyFont="1" applyAlignment="1">
      <alignment horizontal="left"/>
    </xf>
    <xf numFmtId="0" fontId="110" fillId="0" borderId="1" xfId="0" quotePrefix="1" applyFont="1" applyBorder="1" applyAlignment="1">
      <alignment horizontal="left" vertical="center"/>
    </xf>
    <xf numFmtId="0" fontId="110" fillId="3" borderId="1" xfId="0" quotePrefix="1" applyFont="1" applyFill="1" applyBorder="1" applyAlignment="1">
      <alignment horizontal="left" vertical="center"/>
    </xf>
    <xf numFmtId="0" fontId="110" fillId="2" borderId="1" xfId="0" applyFont="1" applyFill="1" applyBorder="1" applyAlignment="1">
      <alignment vertical="center"/>
    </xf>
    <xf numFmtId="0" fontId="110" fillId="2" borderId="1" xfId="0" quotePrefix="1" applyFont="1" applyFill="1" applyBorder="1" applyAlignment="1">
      <alignment horizontal="left" vertical="center"/>
    </xf>
    <xf numFmtId="164" fontId="39" fillId="2" borderId="1" xfId="1" applyNumberFormat="1" applyFont="1" applyFill="1" applyBorder="1" applyAlignment="1">
      <alignment vertical="center"/>
    </xf>
    <xf numFmtId="0" fontId="0" fillId="2" borderId="3" xfId="0" applyFill="1" applyBorder="1"/>
    <xf numFmtId="0" fontId="0" fillId="2" borderId="6" xfId="0" applyFill="1" applyBorder="1"/>
    <xf numFmtId="164" fontId="43" fillId="2" borderId="6" xfId="1" applyNumberFormat="1" applyFont="1" applyFill="1" applyBorder="1" applyAlignment="1">
      <alignment horizontal="center"/>
    </xf>
    <xf numFmtId="0" fontId="53" fillId="2" borderId="6" xfId="0" applyFont="1" applyFill="1" applyBorder="1"/>
    <xf numFmtId="164" fontId="53" fillId="2" borderId="6" xfId="0" applyNumberFormat="1" applyFont="1" applyFill="1" applyBorder="1"/>
    <xf numFmtId="41" fontId="24" fillId="2" borderId="1" xfId="1" applyNumberFormat="1" applyFont="1" applyFill="1" applyBorder="1" applyAlignment="1">
      <alignment vertical="center"/>
    </xf>
    <xf numFmtId="41" fontId="53" fillId="2" borderId="1" xfId="1" applyNumberFormat="1" applyFont="1" applyFill="1" applyBorder="1" applyAlignment="1">
      <alignment horizontal="right"/>
    </xf>
    <xf numFmtId="0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41" fontId="24" fillId="2" borderId="1" xfId="0" applyNumberFormat="1" applyFont="1" applyFill="1" applyBorder="1" applyAlignment="1">
      <alignment vertical="center"/>
    </xf>
    <xf numFmtId="41" fontId="31" fillId="2" borderId="1" xfId="1" applyNumberFormat="1" applyFont="1" applyFill="1" applyBorder="1" applyAlignment="1">
      <alignment vertical="center"/>
    </xf>
    <xf numFmtId="41" fontId="31" fillId="2" borderId="1" xfId="0" applyNumberFormat="1" applyFont="1" applyFill="1" applyBorder="1" applyAlignment="1">
      <alignment vertical="center"/>
    </xf>
    <xf numFmtId="41" fontId="24" fillId="2" borderId="1" xfId="1" applyNumberFormat="1" applyFont="1" applyFill="1" applyBorder="1"/>
    <xf numFmtId="164" fontId="31" fillId="2" borderId="1" xfId="1" applyNumberFormat="1" applyFont="1" applyFill="1" applyBorder="1"/>
    <xf numFmtId="0" fontId="69" fillId="2" borderId="0" xfId="0" applyFont="1" applyFill="1"/>
    <xf numFmtId="164" fontId="38" fillId="2" borderId="1" xfId="0" applyNumberFormat="1" applyFont="1" applyFill="1" applyBorder="1"/>
    <xf numFmtId="3" fontId="37" fillId="2" borderId="1" xfId="0" applyNumberFormat="1" applyFont="1" applyFill="1" applyBorder="1"/>
    <xf numFmtId="0" fontId="133" fillId="2" borderId="1" xfId="1" applyNumberFormat="1" applyFont="1" applyFill="1" applyBorder="1" applyAlignment="1">
      <alignment horizontal="left"/>
    </xf>
    <xf numFmtId="164" fontId="133" fillId="2" borderId="1" xfId="1" applyNumberFormat="1" applyFont="1" applyFill="1" applyBorder="1"/>
    <xf numFmtId="0" fontId="26" fillId="2" borderId="1" xfId="1" applyNumberFormat="1" applyFont="1" applyFill="1" applyBorder="1" applyAlignment="1">
      <alignment horizontal="left"/>
    </xf>
    <xf numFmtId="164" fontId="26" fillId="2" borderId="1" xfId="1" applyNumberFormat="1" applyFont="1" applyFill="1" applyBorder="1"/>
    <xf numFmtId="164" fontId="133" fillId="2" borderId="0" xfId="1" applyNumberFormat="1" applyFont="1" applyFill="1" applyBorder="1"/>
    <xf numFmtId="164" fontId="133" fillId="2" borderId="3" xfId="1" applyNumberFormat="1" applyFont="1" applyFill="1" applyBorder="1"/>
    <xf numFmtId="164" fontId="26" fillId="2" borderId="3" xfId="1" applyNumberFormat="1" applyFont="1" applyFill="1" applyBorder="1"/>
    <xf numFmtId="41" fontId="26" fillId="2" borderId="1" xfId="1" applyNumberFormat="1" applyFont="1" applyFill="1" applyBorder="1"/>
    <xf numFmtId="41" fontId="37" fillId="2" borderId="1" xfId="1" applyNumberFormat="1" applyFont="1" applyFill="1" applyBorder="1"/>
    <xf numFmtId="164" fontId="69" fillId="2" borderId="0" xfId="1" applyNumberFormat="1" applyFont="1" applyFill="1"/>
    <xf numFmtId="164" fontId="69" fillId="2" borderId="0" xfId="0" applyNumberFormat="1" applyFont="1" applyFill="1"/>
    <xf numFmtId="0" fontId="1" fillId="2" borderId="3" xfId="0" applyFont="1" applyFill="1" applyBorder="1"/>
    <xf numFmtId="41" fontId="53" fillId="2" borderId="1" xfId="2" applyNumberFormat="1" applyFont="1" applyFill="1" applyBorder="1" applyAlignment="1">
      <alignment vertical="center"/>
    </xf>
    <xf numFmtId="0" fontId="52" fillId="2" borderId="0" xfId="0" applyFont="1" applyFill="1"/>
    <xf numFmtId="0" fontId="52" fillId="2" borderId="0" xfId="0" applyFont="1" applyFill="1" applyAlignment="1">
      <alignment horizontal="center"/>
    </xf>
    <xf numFmtId="0" fontId="52" fillId="2" borderId="0" xfId="0" applyFont="1" applyFill="1" applyAlignment="1">
      <alignment horizontal="right"/>
    </xf>
    <xf numFmtId="0" fontId="116" fillId="2" borderId="0" xfId="0" applyFont="1" applyFill="1"/>
    <xf numFmtId="3" fontId="52" fillId="2" borderId="0" xfId="0" applyNumberFormat="1" applyFont="1" applyFill="1"/>
    <xf numFmtId="43" fontId="13" fillId="2" borderId="0" xfId="1" applyFont="1" applyFill="1"/>
    <xf numFmtId="43" fontId="13" fillId="2" borderId="0" xfId="0" applyNumberFormat="1" applyFont="1" applyFill="1"/>
    <xf numFmtId="41" fontId="53" fillId="2" borderId="1" xfId="1" applyNumberFormat="1" applyFont="1" applyFill="1" applyBorder="1" applyAlignment="1">
      <alignment horizontal="left"/>
    </xf>
    <xf numFmtId="164" fontId="16" fillId="2" borderId="0" xfId="1" applyNumberFormat="1" applyFont="1" applyFill="1"/>
    <xf numFmtId="0" fontId="8" fillId="2" borderId="0" xfId="0" applyFont="1" applyFill="1"/>
    <xf numFmtId="0" fontId="134" fillId="2" borderId="0" xfId="0" applyFont="1" applyFill="1"/>
    <xf numFmtId="0" fontId="43" fillId="2" borderId="0" xfId="0" applyFont="1" applyFill="1"/>
    <xf numFmtId="0" fontId="71" fillId="2" borderId="0" xfId="0" applyFont="1" applyFill="1"/>
    <xf numFmtId="3" fontId="38" fillId="2" borderId="1" xfId="1" applyNumberFormat="1" applyFont="1" applyFill="1" applyBorder="1"/>
    <xf numFmtId="43" fontId="37" fillId="2" borderId="1" xfId="1" applyFont="1" applyFill="1" applyBorder="1"/>
    <xf numFmtId="43" fontId="38" fillId="2" borderId="1" xfId="1" applyFont="1" applyFill="1" applyBorder="1"/>
    <xf numFmtId="0" fontId="69" fillId="2" borderId="0" xfId="0" applyFont="1" applyFill="1" applyAlignment="1">
      <alignment horizontal="center"/>
    </xf>
    <xf numFmtId="0" fontId="68" fillId="2" borderId="0" xfId="0" applyFont="1" applyFill="1" applyAlignment="1">
      <alignment vertical="center"/>
    </xf>
    <xf numFmtId="0" fontId="70" fillId="2" borderId="0" xfId="0" applyFont="1" applyFill="1" applyAlignment="1">
      <alignment vertical="center"/>
    </xf>
    <xf numFmtId="164" fontId="135" fillId="2" borderId="1" xfId="1" applyNumberFormat="1" applyFont="1" applyFill="1" applyBorder="1"/>
    <xf numFmtId="164" fontId="136" fillId="2" borderId="0" xfId="1" applyNumberFormat="1" applyFont="1" applyFill="1"/>
    <xf numFmtId="0" fontId="31" fillId="2" borderId="1" xfId="0" applyNumberFormat="1" applyFont="1" applyFill="1" applyBorder="1"/>
    <xf numFmtId="0" fontId="31" fillId="2" borderId="1" xfId="1" applyNumberFormat="1" applyFont="1" applyFill="1" applyBorder="1" applyAlignment="1">
      <alignment horizontal="left"/>
    </xf>
    <xf numFmtId="0" fontId="24" fillId="2" borderId="1" xfId="1" applyNumberFormat="1" applyFont="1" applyFill="1" applyBorder="1" applyAlignment="1">
      <alignment horizontal="left"/>
    </xf>
    <xf numFmtId="164" fontId="135" fillId="2" borderId="0" xfId="1" applyNumberFormat="1" applyFont="1" applyFill="1" applyBorder="1"/>
    <xf numFmtId="0" fontId="42" fillId="2" borderId="0" xfId="0" applyNumberFormat="1" applyFont="1" applyFill="1"/>
    <xf numFmtId="164" fontId="42" fillId="2" borderId="0" xfId="0" applyNumberFormat="1" applyFont="1" applyFill="1"/>
    <xf numFmtId="41" fontId="53" fillId="2" borderId="1" xfId="1" applyNumberFormat="1" applyFont="1" applyFill="1" applyBorder="1" applyAlignment="1">
      <alignment vertical="center"/>
    </xf>
    <xf numFmtId="164" fontId="116" fillId="2" borderId="0" xfId="1" applyNumberFormat="1" applyFont="1" applyFill="1" applyBorder="1"/>
    <xf numFmtId="0" fontId="52" fillId="2" borderId="0" xfId="0" applyNumberFormat="1" applyFont="1" applyFill="1"/>
    <xf numFmtId="164" fontId="52" fillId="2" borderId="0" xfId="0" applyNumberFormat="1" applyFont="1" applyFill="1"/>
    <xf numFmtId="0" fontId="62" fillId="2" borderId="1" xfId="0" applyFont="1" applyFill="1" applyBorder="1"/>
    <xf numFmtId="43" fontId="53" fillId="2" borderId="1" xfId="1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165" fontId="71" fillId="0" borderId="12" xfId="5" applyNumberFormat="1" applyFont="1" applyBorder="1" applyAlignment="1">
      <alignment horizontal="left"/>
    </xf>
    <xf numFmtId="165" fontId="69" fillId="0" borderId="12" xfId="5" applyNumberFormat="1" applyFont="1" applyBorder="1" applyAlignment="1">
      <alignment horizontal="center"/>
    </xf>
    <xf numFmtId="165" fontId="0" fillId="0" borderId="0" xfId="5" applyNumberFormat="1" applyFont="1" applyAlignment="1">
      <alignment horizontal="center"/>
    </xf>
    <xf numFmtId="9" fontId="71" fillId="0" borderId="17" xfId="5" applyNumberFormat="1" applyFont="1" applyBorder="1" applyAlignment="1">
      <alignment horizontal="center"/>
    </xf>
    <xf numFmtId="164" fontId="111" fillId="0" borderId="0" xfId="0" applyNumberFormat="1" applyFont="1"/>
    <xf numFmtId="0" fontId="58" fillId="2" borderId="1" xfId="0" applyFont="1" applyFill="1" applyBorder="1"/>
    <xf numFmtId="164" fontId="50" fillId="2" borderId="0" xfId="0" applyNumberFormat="1" applyFont="1" applyFill="1"/>
    <xf numFmtId="0" fontId="55" fillId="2" borderId="0" xfId="0" applyNumberFormat="1" applyFont="1" applyFill="1"/>
    <xf numFmtId="0" fontId="33" fillId="2" borderId="1" xfId="1" applyNumberFormat="1" applyFont="1" applyFill="1" applyBorder="1" applyAlignment="1">
      <alignment horizontal="left" vertical="center"/>
    </xf>
    <xf numFmtId="0" fontId="33" fillId="0" borderId="1" xfId="1" applyNumberFormat="1" applyFont="1" applyFill="1" applyBorder="1" applyAlignment="1">
      <alignment horizontal="left" vertical="center"/>
    </xf>
    <xf numFmtId="164" fontId="33" fillId="0" borderId="1" xfId="1" applyNumberFormat="1" applyFont="1" applyFill="1" applyBorder="1" applyAlignment="1">
      <alignment horizontal="left" vertical="center"/>
    </xf>
    <xf numFmtId="1" fontId="33" fillId="0" borderId="1" xfId="1" applyNumberFormat="1" applyFont="1" applyFill="1" applyBorder="1" applyAlignment="1">
      <alignment horizontal="center" vertical="center"/>
    </xf>
    <xf numFmtId="164" fontId="33" fillId="0" borderId="1" xfId="1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3" fillId="0" borderId="1" xfId="1" quotePrefix="1" applyNumberFormat="1" applyFont="1" applyBorder="1" applyAlignment="1">
      <alignment horizontal="left" vertical="center"/>
    </xf>
    <xf numFmtId="164" fontId="33" fillId="0" borderId="1" xfId="1" applyNumberFormat="1" applyFont="1" applyBorder="1" applyAlignment="1">
      <alignment vertical="center"/>
    </xf>
    <xf numFmtId="164" fontId="33" fillId="0" borderId="1" xfId="1" applyNumberFormat="1" applyFont="1" applyFill="1" applyBorder="1" applyAlignment="1">
      <alignment vertical="center"/>
    </xf>
    <xf numFmtId="0" fontId="33" fillId="0" borderId="1" xfId="1" applyNumberFormat="1" applyFont="1" applyBorder="1" applyAlignment="1">
      <alignment horizontal="left" vertical="center"/>
    </xf>
    <xf numFmtId="3" fontId="33" fillId="0" borderId="1" xfId="0" applyNumberFormat="1" applyFont="1" applyFill="1" applyBorder="1" applyAlignment="1">
      <alignment vertical="center"/>
    </xf>
    <xf numFmtId="164" fontId="137" fillId="0" borderId="1" xfId="1" applyNumberFormat="1" applyFont="1" applyFill="1" applyBorder="1" applyAlignment="1">
      <alignment vertical="center"/>
    </xf>
    <xf numFmtId="0" fontId="137" fillId="0" borderId="1" xfId="1" applyNumberFormat="1" applyFont="1" applyBorder="1" applyAlignment="1">
      <alignment horizontal="left" vertical="center"/>
    </xf>
    <xf numFmtId="0" fontId="33" fillId="0" borderId="5" xfId="1" applyNumberFormat="1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33" fillId="0" borderId="1" xfId="0" applyFont="1" applyFill="1" applyBorder="1" applyAlignment="1">
      <alignment horizontal="left" vertical="center"/>
    </xf>
    <xf numFmtId="164" fontId="111" fillId="3" borderId="0" xfId="0" applyNumberFormat="1" applyFont="1" applyFill="1"/>
    <xf numFmtId="0" fontId="138" fillId="2" borderId="0" xfId="0" applyFont="1" applyFill="1"/>
    <xf numFmtId="0" fontId="38" fillId="2" borderId="1" xfId="0" applyNumberFormat="1" applyFont="1" applyFill="1" applyBorder="1" applyAlignment="1">
      <alignment vertical="center"/>
    </xf>
    <xf numFmtId="0" fontId="38" fillId="2" borderId="1" xfId="0" applyNumberFormat="1" applyFont="1" applyFill="1" applyBorder="1" applyAlignment="1">
      <alignment horizontal="left" vertical="center"/>
    </xf>
    <xf numFmtId="164" fontId="37" fillId="2" borderId="1" xfId="1" applyNumberFormat="1" applyFont="1" applyFill="1" applyBorder="1" applyAlignment="1">
      <alignment vertical="center"/>
    </xf>
    <xf numFmtId="0" fontId="37" fillId="2" borderId="1" xfId="0" applyNumberFormat="1" applyFont="1" applyFill="1" applyBorder="1" applyAlignment="1">
      <alignment horizontal="left" vertical="center"/>
    </xf>
    <xf numFmtId="41" fontId="37" fillId="2" borderId="1" xfId="1" applyNumberFormat="1" applyFont="1" applyFill="1" applyBorder="1" applyAlignment="1">
      <alignment vertical="center"/>
    </xf>
    <xf numFmtId="0" fontId="37" fillId="2" borderId="1" xfId="1" applyNumberFormat="1" applyFont="1" applyFill="1" applyBorder="1" applyAlignment="1">
      <alignment horizontal="left" vertical="center"/>
    </xf>
    <xf numFmtId="0" fontId="38" fillId="2" borderId="1" xfId="1" applyNumberFormat="1" applyFont="1" applyFill="1" applyBorder="1" applyAlignment="1">
      <alignment horizontal="left" vertical="center"/>
    </xf>
    <xf numFmtId="0" fontId="69" fillId="2" borderId="0" xfId="0" applyFont="1" applyFill="1" applyAlignment="1">
      <alignment vertical="center"/>
    </xf>
    <xf numFmtId="0" fontId="69" fillId="2" borderId="1" xfId="0" applyFont="1" applyFill="1" applyBorder="1" applyAlignment="1"/>
    <xf numFmtId="0" fontId="110" fillId="2" borderId="1" xfId="0" applyNumberFormat="1" applyFont="1" applyFill="1" applyBorder="1" applyAlignment="1">
      <alignment horizontal="left" vertical="center" wrapText="1"/>
    </xf>
    <xf numFmtId="0" fontId="110" fillId="2" borderId="1" xfId="0" applyFont="1" applyFill="1" applyBorder="1" applyAlignment="1">
      <alignment vertical="center" wrapText="1"/>
    </xf>
    <xf numFmtId="164" fontId="37" fillId="2" borderId="0" xfId="0" applyNumberFormat="1" applyFont="1" applyFill="1" applyBorder="1" applyAlignment="1">
      <alignment vertical="center"/>
    </xf>
    <xf numFmtId="164" fontId="38" fillId="2" borderId="0" xfId="1" applyNumberFormat="1" applyFont="1" applyFill="1" applyBorder="1" applyAlignment="1">
      <alignment vertical="center"/>
    </xf>
    <xf numFmtId="0" fontId="71" fillId="2" borderId="0" xfId="0" applyFont="1" applyFill="1" applyAlignment="1">
      <alignment vertical="center"/>
    </xf>
    <xf numFmtId="0" fontId="69" fillId="2" borderId="0" xfId="0" applyNumberFormat="1" applyFont="1" applyFill="1"/>
    <xf numFmtId="0" fontId="50" fillId="2" borderId="0" xfId="0" applyNumberFormat="1" applyFont="1" applyFill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" xfId="0" applyFont="1" applyFill="1" applyBorder="1"/>
    <xf numFmtId="0" fontId="135" fillId="2" borderId="0" xfId="0" applyFont="1" applyFill="1" applyBorder="1"/>
    <xf numFmtId="0" fontId="31" fillId="2" borderId="1" xfId="0" applyFont="1" applyFill="1" applyBorder="1" applyAlignment="1">
      <alignment horizontal="center"/>
    </xf>
    <xf numFmtId="0" fontId="135" fillId="2" borderId="0" xfId="0" applyFont="1" applyFill="1" applyBorder="1" applyAlignment="1">
      <alignment horizontal="center"/>
    </xf>
    <xf numFmtId="0" fontId="31" fillId="2" borderId="1" xfId="0" applyNumberFormat="1" applyFont="1" applyFill="1" applyBorder="1" applyAlignment="1">
      <alignment horizontal="left"/>
    </xf>
    <xf numFmtId="164" fontId="24" fillId="2" borderId="1" xfId="1" applyNumberFormat="1" applyFont="1" applyFill="1" applyBorder="1"/>
    <xf numFmtId="0" fontId="24" fillId="2" borderId="1" xfId="0" applyFont="1" applyFill="1" applyBorder="1" applyAlignment="1">
      <alignment horizontal="right"/>
    </xf>
    <xf numFmtId="0" fontId="58" fillId="2" borderId="0" xfId="0" applyFont="1" applyFill="1"/>
    <xf numFmtId="0" fontId="62" fillId="3" borderId="0" xfId="0" applyFont="1" applyFill="1"/>
    <xf numFmtId="164" fontId="43" fillId="2" borderId="6" xfId="0" applyNumberFormat="1" applyFont="1" applyFill="1" applyBorder="1"/>
    <xf numFmtId="164" fontId="31" fillId="0" borderId="1" xfId="0" applyNumberFormat="1" applyFont="1" applyBorder="1" applyAlignment="1">
      <alignment vertical="center"/>
    </xf>
    <xf numFmtId="164" fontId="53" fillId="0" borderId="1" xfId="1" applyNumberFormat="1" applyFont="1" applyFill="1" applyBorder="1"/>
    <xf numFmtId="43" fontId="55" fillId="2" borderId="1" xfId="1" applyFont="1" applyFill="1" applyBorder="1" applyAlignment="1">
      <alignment vertical="center"/>
    </xf>
    <xf numFmtId="164" fontId="92" fillId="0" borderId="1" xfId="0" applyNumberFormat="1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horizontal="right" vertical="center"/>
    </xf>
    <xf numFmtId="41" fontId="24" fillId="2" borderId="1" xfId="1" applyNumberFormat="1" applyFont="1" applyFill="1" applyBorder="1" applyAlignment="1">
      <alignment horizontal="right" vertical="center"/>
    </xf>
    <xf numFmtId="164" fontId="43" fillId="2" borderId="1" xfId="0" applyNumberFormat="1" applyFont="1" applyFill="1" applyBorder="1" applyAlignment="1">
      <alignment horizontal="right"/>
    </xf>
    <xf numFmtId="164" fontId="38" fillId="2" borderId="1" xfId="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vertical="center"/>
    </xf>
    <xf numFmtId="164" fontId="53" fillId="0" borderId="1" xfId="1" applyNumberFormat="1" applyFont="1" applyFill="1" applyBorder="1" applyAlignment="1">
      <alignment horizontal="right"/>
    </xf>
    <xf numFmtId="164" fontId="43" fillId="0" borderId="1" xfId="1" applyNumberFormat="1" applyFont="1" applyFill="1" applyBorder="1" applyAlignment="1">
      <alignment horizontal="right"/>
    </xf>
    <xf numFmtId="164" fontId="43" fillId="0" borderId="1" xfId="0" applyNumberFormat="1" applyFont="1" applyFill="1" applyBorder="1"/>
    <xf numFmtId="164" fontId="43" fillId="0" borderId="1" xfId="1" applyNumberFormat="1" applyFont="1" applyFill="1" applyBorder="1"/>
    <xf numFmtId="41" fontId="53" fillId="0" borderId="1" xfId="1" applyNumberFormat="1" applyFont="1" applyFill="1" applyBorder="1"/>
    <xf numFmtId="164" fontId="53" fillId="0" borderId="1" xfId="0" applyNumberFormat="1" applyFont="1" applyFill="1" applyBorder="1"/>
    <xf numFmtId="164" fontId="62" fillId="0" borderId="1" xfId="1" applyNumberFormat="1" applyFont="1" applyFill="1" applyBorder="1" applyAlignment="1">
      <alignment vertical="center"/>
    </xf>
    <xf numFmtId="41" fontId="53" fillId="0" borderId="1" xfId="2" applyNumberFormat="1" applyFont="1" applyFill="1" applyBorder="1" applyAlignment="1">
      <alignment vertical="center"/>
    </xf>
    <xf numFmtId="164" fontId="43" fillId="0" borderId="1" xfId="2" applyNumberFormat="1" applyFont="1" applyFill="1" applyBorder="1" applyAlignment="1">
      <alignment vertical="center"/>
    </xf>
    <xf numFmtId="164" fontId="53" fillId="0" borderId="1" xfId="2" applyNumberFormat="1" applyFont="1" applyFill="1" applyBorder="1" applyAlignment="1">
      <alignment vertical="center"/>
    </xf>
    <xf numFmtId="3" fontId="53" fillId="0" borderId="1" xfId="0" applyNumberFormat="1" applyFont="1" applyFill="1" applyBorder="1"/>
    <xf numFmtId="3" fontId="53" fillId="0" borderId="1" xfId="1" applyNumberFormat="1" applyFont="1" applyFill="1" applyBorder="1"/>
    <xf numFmtId="3" fontId="43" fillId="0" borderId="1" xfId="0" applyNumberFormat="1" applyFont="1" applyFill="1" applyBorder="1"/>
    <xf numFmtId="164" fontId="53" fillId="0" borderId="1" xfId="1" applyNumberFormat="1" applyFont="1" applyFill="1" applyBorder="1" applyAlignment="1">
      <alignment horizontal="left"/>
    </xf>
    <xf numFmtId="41" fontId="53" fillId="0" borderId="1" xfId="1" applyNumberFormat="1" applyFont="1" applyFill="1" applyBorder="1" applyAlignment="1">
      <alignment horizontal="left"/>
    </xf>
    <xf numFmtId="164" fontId="43" fillId="0" borderId="1" xfId="1" applyNumberFormat="1" applyFont="1" applyFill="1" applyBorder="1" applyAlignment="1">
      <alignment horizontal="left"/>
    </xf>
    <xf numFmtId="164" fontId="43" fillId="0" borderId="1" xfId="0" applyNumberFormat="1" applyFont="1" applyFill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left"/>
    </xf>
    <xf numFmtId="0" fontId="53" fillId="0" borderId="1" xfId="0" applyFont="1" applyFill="1" applyBorder="1"/>
    <xf numFmtId="43" fontId="53" fillId="0" borderId="1" xfId="1" applyFont="1" applyFill="1" applyBorder="1"/>
    <xf numFmtId="41" fontId="43" fillId="0" borderId="1" xfId="1" applyNumberFormat="1" applyFont="1" applyFill="1" applyBorder="1"/>
    <xf numFmtId="164" fontId="53" fillId="0" borderId="1" xfId="1" applyNumberFormat="1" applyFont="1" applyFill="1" applyBorder="1" applyAlignment="1"/>
    <xf numFmtId="164" fontId="53" fillId="0" borderId="1" xfId="0" applyNumberFormat="1" applyFont="1" applyFill="1" applyBorder="1" applyAlignment="1"/>
    <xf numFmtId="3" fontId="53" fillId="0" borderId="1" xfId="1" applyNumberFormat="1" applyFont="1" applyFill="1" applyBorder="1" applyAlignment="1">
      <alignment horizontal="right"/>
    </xf>
    <xf numFmtId="41" fontId="53" fillId="0" borderId="1" xfId="1" applyNumberFormat="1" applyFont="1" applyFill="1" applyBorder="1" applyAlignment="1">
      <alignment vertical="center"/>
    </xf>
    <xf numFmtId="41" fontId="24" fillId="0" borderId="1" xfId="1" applyNumberFormat="1" applyFont="1" applyFill="1" applyBorder="1" applyAlignment="1">
      <alignment vertical="center"/>
    </xf>
    <xf numFmtId="164" fontId="55" fillId="0" borderId="0" xfId="1" applyNumberFormat="1" applyFont="1" applyFill="1"/>
    <xf numFmtId="164" fontId="37" fillId="0" borderId="1" xfId="1" applyNumberFormat="1" applyFont="1" applyFill="1" applyBorder="1"/>
    <xf numFmtId="164" fontId="37" fillId="0" borderId="1" xfId="0" applyNumberFormat="1" applyFont="1" applyFill="1" applyBorder="1"/>
    <xf numFmtId="164" fontId="38" fillId="0" borderId="1" xfId="1" applyNumberFormat="1" applyFont="1" applyFill="1" applyBorder="1"/>
    <xf numFmtId="3" fontId="38" fillId="0" borderId="1" xfId="1" applyNumberFormat="1" applyFont="1" applyFill="1" applyBorder="1"/>
    <xf numFmtId="3" fontId="37" fillId="0" borderId="1" xfId="1" applyNumberFormat="1" applyFont="1" applyFill="1" applyBorder="1"/>
    <xf numFmtId="3" fontId="38" fillId="0" borderId="1" xfId="0" applyNumberFormat="1" applyFont="1" applyFill="1" applyBorder="1"/>
    <xf numFmtId="3" fontId="37" fillId="0" borderId="1" xfId="0" applyNumberFormat="1" applyFont="1" applyFill="1" applyBorder="1"/>
    <xf numFmtId="43" fontId="37" fillId="0" borderId="1" xfId="1" applyFont="1" applyFill="1" applyBorder="1"/>
    <xf numFmtId="43" fontId="38" fillId="0" borderId="1" xfId="1" applyFont="1" applyFill="1" applyBorder="1"/>
    <xf numFmtId="164" fontId="37" fillId="0" borderId="1" xfId="1" applyNumberFormat="1" applyFont="1" applyFill="1" applyBorder="1" applyAlignment="1">
      <alignment vertical="center"/>
    </xf>
    <xf numFmtId="41" fontId="53" fillId="0" borderId="1" xfId="1" applyNumberFormat="1" applyFont="1" applyFill="1" applyBorder="1" applyAlignment="1">
      <alignment horizontal="right"/>
    </xf>
    <xf numFmtId="41" fontId="53" fillId="0" borderId="1" xfId="0" applyNumberFormat="1" applyFont="1" applyFill="1" applyBorder="1"/>
    <xf numFmtId="41" fontId="43" fillId="0" borderId="1" xfId="0" applyNumberFormat="1" applyFont="1" applyFill="1" applyBorder="1"/>
    <xf numFmtId="41" fontId="31" fillId="0" borderId="1" xfId="1" applyNumberFormat="1" applyFont="1" applyFill="1" applyBorder="1" applyAlignment="1">
      <alignment vertical="center"/>
    </xf>
    <xf numFmtId="41" fontId="24" fillId="0" borderId="1" xfId="0" applyNumberFormat="1" applyFont="1" applyFill="1" applyBorder="1" applyAlignment="1">
      <alignment vertical="center"/>
    </xf>
    <xf numFmtId="41" fontId="31" fillId="0" borderId="1" xfId="0" applyNumberFormat="1" applyFont="1" applyFill="1" applyBorder="1" applyAlignment="1">
      <alignment vertical="center"/>
    </xf>
    <xf numFmtId="164" fontId="92" fillId="0" borderId="1" xfId="1" applyNumberFormat="1" applyFont="1" applyFill="1" applyBorder="1" applyAlignment="1">
      <alignment vertical="center"/>
    </xf>
    <xf numFmtId="41" fontId="92" fillId="0" borderId="1" xfId="1" applyNumberFormat="1" applyFont="1" applyFill="1" applyBorder="1" applyAlignment="1">
      <alignment vertical="center"/>
    </xf>
    <xf numFmtId="164" fontId="91" fillId="0" borderId="1" xfId="1" applyNumberFormat="1" applyFont="1" applyFill="1" applyBorder="1" applyAlignment="1">
      <alignment vertical="center"/>
    </xf>
    <xf numFmtId="41" fontId="92" fillId="0" borderId="1" xfId="0" applyNumberFormat="1" applyFont="1" applyFill="1" applyBorder="1" applyAlignment="1">
      <alignment vertical="center"/>
    </xf>
    <xf numFmtId="164" fontId="91" fillId="0" borderId="1" xfId="0" applyNumberFormat="1" applyFont="1" applyFill="1" applyBorder="1" applyAlignment="1">
      <alignment vertical="center"/>
    </xf>
    <xf numFmtId="41" fontId="91" fillId="0" borderId="1" xfId="1" applyNumberFormat="1" applyFont="1" applyFill="1" applyBorder="1" applyAlignment="1">
      <alignment vertical="center"/>
    </xf>
    <xf numFmtId="41" fontId="91" fillId="0" borderId="1" xfId="0" applyNumberFormat="1" applyFont="1" applyFill="1" applyBorder="1" applyAlignment="1">
      <alignment vertical="center"/>
    </xf>
    <xf numFmtId="164" fontId="26" fillId="0" borderId="1" xfId="1" applyNumberFormat="1" applyFont="1" applyFill="1" applyBorder="1"/>
    <xf numFmtId="41" fontId="26" fillId="0" borderId="1" xfId="1" applyNumberFormat="1" applyFont="1" applyFill="1" applyBorder="1"/>
    <xf numFmtId="164" fontId="133" fillId="0" borderId="1" xfId="1" applyNumberFormat="1" applyFont="1" applyFill="1" applyBorder="1"/>
    <xf numFmtId="164" fontId="43" fillId="0" borderId="1" xfId="1" applyNumberFormat="1" applyFont="1" applyFill="1" applyBorder="1" applyAlignment="1">
      <alignment horizontal="center"/>
    </xf>
    <xf numFmtId="164" fontId="53" fillId="0" borderId="1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 vertical="center"/>
    </xf>
    <xf numFmtId="41" fontId="24" fillId="0" borderId="1" xfId="1" applyNumberFormat="1" applyFont="1" applyFill="1" applyBorder="1"/>
    <xf numFmtId="164" fontId="24" fillId="0" borderId="1" xfId="1" applyNumberFormat="1" applyFont="1" applyFill="1" applyBorder="1"/>
    <xf numFmtId="164" fontId="31" fillId="0" borderId="1" xfId="1" applyNumberFormat="1" applyFont="1" applyFill="1" applyBorder="1"/>
    <xf numFmtId="0" fontId="24" fillId="0" borderId="1" xfId="0" applyFont="1" applyFill="1" applyBorder="1" applyAlignment="1">
      <alignment horizontal="right"/>
    </xf>
    <xf numFmtId="41" fontId="37" fillId="0" borderId="1" xfId="1" applyNumberFormat="1" applyFont="1" applyFill="1" applyBorder="1"/>
    <xf numFmtId="0" fontId="53" fillId="0" borderId="1" xfId="1" applyNumberFormat="1" applyFont="1" applyFill="1" applyBorder="1" applyAlignment="1">
      <alignment horizontal="left"/>
    </xf>
    <xf numFmtId="0" fontId="139" fillId="0" borderId="1" xfId="5" applyNumberFormat="1" applyFont="1" applyFill="1" applyBorder="1" applyAlignment="1">
      <alignment horizontal="center" vertical="center"/>
    </xf>
    <xf numFmtId="0" fontId="140" fillId="0" borderId="5" xfId="4" applyFont="1" applyFill="1" applyBorder="1" applyAlignment="1">
      <alignment vertical="center"/>
    </xf>
    <xf numFmtId="0" fontId="141" fillId="0" borderId="0" xfId="0" applyFont="1" applyAlignment="1">
      <alignment vertical="center"/>
    </xf>
    <xf numFmtId="0" fontId="140" fillId="0" borderId="5" xfId="4" applyFont="1" applyFill="1" applyBorder="1" applyAlignment="1">
      <alignment vertical="center" wrapText="1"/>
    </xf>
    <xf numFmtId="164" fontId="142" fillId="0" borderId="1" xfId="1" applyNumberFormat="1" applyFont="1" applyFill="1" applyBorder="1" applyAlignment="1">
      <alignment vertical="center"/>
    </xf>
    <xf numFmtId="164" fontId="141" fillId="0" borderId="0" xfId="0" applyNumberFormat="1" applyFont="1" applyAlignment="1">
      <alignment vertical="center"/>
    </xf>
    <xf numFmtId="0" fontId="140" fillId="0" borderId="1" xfId="4" applyFont="1" applyFill="1" applyBorder="1" applyAlignment="1">
      <alignment horizontal="left" vertical="center"/>
    </xf>
    <xf numFmtId="0" fontId="140" fillId="0" borderId="1" xfId="4" applyFont="1" applyFill="1" applyBorder="1" applyAlignment="1">
      <alignment vertical="center"/>
    </xf>
    <xf numFmtId="164" fontId="139" fillId="0" borderId="1" xfId="1" applyNumberFormat="1" applyFont="1" applyFill="1" applyBorder="1" applyAlignment="1">
      <alignment horizontal="center" vertical="center"/>
    </xf>
    <xf numFmtId="0" fontId="143" fillId="0" borderId="1" xfId="4" applyFont="1" applyFill="1" applyBorder="1" applyAlignment="1">
      <alignment horizontal="left" vertical="center"/>
    </xf>
    <xf numFmtId="0" fontId="143" fillId="0" borderId="1" xfId="4" applyFont="1" applyFill="1" applyBorder="1" applyAlignment="1">
      <alignment vertical="center"/>
    </xf>
    <xf numFmtId="164" fontId="143" fillId="0" borderId="1" xfId="1" applyNumberFormat="1" applyFont="1" applyFill="1" applyBorder="1" applyAlignment="1">
      <alignment vertical="center"/>
    </xf>
    <xf numFmtId="164" fontId="139" fillId="0" borderId="1" xfId="1" applyNumberFormat="1" applyFont="1" applyFill="1" applyBorder="1" applyAlignment="1">
      <alignment vertical="center"/>
    </xf>
    <xf numFmtId="164" fontId="140" fillId="0" borderId="1" xfId="1" applyNumberFormat="1" applyFont="1" applyFill="1" applyBorder="1" applyAlignment="1">
      <alignment vertical="center"/>
    </xf>
    <xf numFmtId="164" fontId="143" fillId="2" borderId="1" xfId="1" applyNumberFormat="1" applyFont="1" applyFill="1" applyBorder="1" applyAlignment="1">
      <alignment vertical="center"/>
    </xf>
    <xf numFmtId="0" fontId="53" fillId="0" borderId="1" xfId="4" applyFont="1" applyFill="1" applyBorder="1" applyAlignment="1">
      <alignment horizontal="left" vertical="center"/>
    </xf>
    <xf numFmtId="0" fontId="143" fillId="5" borderId="1" xfId="4" applyFont="1" applyFill="1" applyBorder="1" applyAlignment="1">
      <alignment horizontal="left" vertical="center"/>
    </xf>
    <xf numFmtId="0" fontId="140" fillId="5" borderId="1" xfId="4" applyFont="1" applyFill="1" applyBorder="1" applyAlignment="1">
      <alignment horizontal="left" vertical="center"/>
    </xf>
    <xf numFmtId="0" fontId="144" fillId="0" borderId="1" xfId="4" applyFont="1" applyFill="1" applyBorder="1" applyAlignment="1">
      <alignment horizontal="left" vertical="center"/>
    </xf>
    <xf numFmtId="0" fontId="145" fillId="3" borderId="0" xfId="0" applyFont="1" applyFill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1" fillId="0" borderId="0" xfId="0" applyFont="1"/>
    <xf numFmtId="0" fontId="141" fillId="0" borderId="0" xfId="0" applyFont="1" applyFill="1" applyBorder="1"/>
    <xf numFmtId="164" fontId="141" fillId="0" borderId="0" xfId="1" applyNumberFormat="1" applyFont="1" applyAlignment="1">
      <alignment vertical="center"/>
    </xf>
    <xf numFmtId="0" fontId="147" fillId="6" borderId="0" xfId="0" applyFont="1" applyFill="1" applyBorder="1" applyAlignment="1">
      <alignment horizontal="center" vertical="center"/>
    </xf>
    <xf numFmtId="0" fontId="145" fillId="3" borderId="0" xfId="0" applyFont="1" applyFill="1" applyAlignment="1">
      <alignment vertical="center" wrapText="1"/>
    </xf>
    <xf numFmtId="0" fontId="148" fillId="6" borderId="0" xfId="0" applyFont="1" applyFill="1" applyBorder="1" applyAlignment="1">
      <alignment horizontal="center" vertical="center"/>
    </xf>
    <xf numFmtId="0" fontId="149" fillId="0" borderId="0" xfId="0" applyFont="1" applyBorder="1"/>
    <xf numFmtId="164" fontId="139" fillId="0" borderId="0" xfId="1" applyNumberFormat="1" applyFont="1" applyFill="1" applyBorder="1" applyAlignment="1">
      <alignment vertical="center"/>
    </xf>
    <xf numFmtId="164" fontId="140" fillId="2" borderId="1" xfId="1" applyNumberFormat="1" applyFont="1" applyFill="1" applyBorder="1" applyAlignment="1">
      <alignment vertical="center"/>
    </xf>
    <xf numFmtId="3" fontId="139" fillId="0" borderId="1" xfId="4" applyNumberFormat="1" applyFont="1" applyFill="1" applyBorder="1" applyAlignment="1">
      <alignment horizontal="left" vertical="center"/>
    </xf>
    <xf numFmtId="0" fontId="141" fillId="0" borderId="0" xfId="0" applyFont="1" applyAlignment="1">
      <alignment horizontal="left" vertical="center"/>
    </xf>
    <xf numFmtId="164" fontId="150" fillId="0" borderId="0" xfId="0" applyNumberFormat="1" applyFont="1" applyAlignment="1">
      <alignment vertical="center"/>
    </xf>
    <xf numFmtId="9" fontId="141" fillId="0" borderId="0" xfId="5" applyFont="1" applyAlignment="1">
      <alignment vertical="center"/>
    </xf>
    <xf numFmtId="43" fontId="141" fillId="0" borderId="0" xfId="0" applyNumberFormat="1" applyFont="1" applyAlignment="1">
      <alignment vertical="center"/>
    </xf>
    <xf numFmtId="164" fontId="152" fillId="0" borderId="1" xfId="1" applyNumberFormat="1" applyFont="1" applyFill="1" applyBorder="1"/>
    <xf numFmtId="164" fontId="153" fillId="0" borderId="0" xfId="0" applyNumberFormat="1" applyFont="1"/>
    <xf numFmtId="165" fontId="153" fillId="0" borderId="0" xfId="0" applyNumberFormat="1" applyFont="1"/>
    <xf numFmtId="0" fontId="153" fillId="0" borderId="0" xfId="0" applyFont="1"/>
    <xf numFmtId="0" fontId="151" fillId="0" borderId="1" xfId="0" applyFont="1" applyFill="1" applyBorder="1"/>
    <xf numFmtId="0" fontId="151" fillId="0" borderId="1" xfId="0" applyFont="1" applyFill="1" applyBorder="1" applyAlignment="1">
      <alignment horizontal="center" vertical="center"/>
    </xf>
    <xf numFmtId="0" fontId="151" fillId="0" borderId="1" xfId="0" applyFont="1" applyFill="1" applyBorder="1" applyAlignment="1">
      <alignment horizontal="center" vertical="center" wrapText="1"/>
    </xf>
    <xf numFmtId="164" fontId="151" fillId="0" borderId="1" xfId="1" applyNumberFormat="1" applyFont="1" applyFill="1" applyBorder="1" applyAlignment="1">
      <alignment horizontal="center" vertical="center" wrapText="1"/>
    </xf>
    <xf numFmtId="0" fontId="151" fillId="2" borderId="1" xfId="0" applyFont="1" applyFill="1" applyBorder="1" applyAlignment="1">
      <alignment horizontal="center" vertical="center"/>
    </xf>
    <xf numFmtId="0" fontId="111" fillId="0" borderId="0" xfId="0" applyFont="1" applyAlignment="1">
      <alignment vertical="center"/>
    </xf>
    <xf numFmtId="0" fontId="151" fillId="0" borderId="1" xfId="0" applyFont="1" applyFill="1" applyBorder="1" applyAlignment="1">
      <alignment horizontal="center" wrapText="1"/>
    </xf>
    <xf numFmtId="164" fontId="154" fillId="0" borderId="1" xfId="1" applyNumberFormat="1" applyFont="1" applyFill="1" applyBorder="1" applyAlignment="1">
      <alignment horizontal="center"/>
    </xf>
    <xf numFmtId="164" fontId="154" fillId="0" borderId="1" xfId="1" applyNumberFormat="1" applyFont="1" applyFill="1" applyBorder="1"/>
    <xf numFmtId="164" fontId="155" fillId="0" borderId="1" xfId="1" applyNumberFormat="1" applyFont="1" applyFill="1" applyBorder="1"/>
    <xf numFmtId="164" fontId="151" fillId="0" borderId="1" xfId="1" applyNumberFormat="1" applyFont="1" applyFill="1" applyBorder="1" applyAlignment="1">
      <alignment horizontal="left"/>
    </xf>
    <xf numFmtId="164" fontId="154" fillId="0" borderId="1" xfId="0" applyNumberFormat="1" applyFont="1" applyFill="1" applyBorder="1"/>
    <xf numFmtId="164" fontId="111" fillId="0" borderId="0" xfId="1" applyNumberFormat="1" applyFont="1"/>
    <xf numFmtId="43" fontId="111" fillId="0" borderId="0" xfId="0" applyNumberFormat="1" applyFont="1"/>
    <xf numFmtId="164" fontId="151" fillId="0" borderId="1" xfId="1" applyNumberFormat="1" applyFont="1" applyFill="1" applyBorder="1"/>
    <xf numFmtId="0" fontId="151" fillId="0" borderId="1" xfId="0" applyFont="1" applyFill="1" applyBorder="1" applyAlignment="1">
      <alignment wrapText="1"/>
    </xf>
    <xf numFmtId="164" fontId="153" fillId="0" borderId="0" xfId="1" applyNumberFormat="1" applyFont="1"/>
    <xf numFmtId="9" fontId="111" fillId="0" borderId="0" xfId="5" applyFont="1"/>
    <xf numFmtId="43" fontId="111" fillId="0" borderId="0" xfId="1" applyFont="1"/>
    <xf numFmtId="164" fontId="111" fillId="0" borderId="0" xfId="1" applyNumberFormat="1" applyFont="1" applyAlignment="1">
      <alignment vertical="center"/>
    </xf>
    <xf numFmtId="1" fontId="156" fillId="0" borderId="0" xfId="5" applyNumberFormat="1" applyFont="1"/>
    <xf numFmtId="164" fontId="156" fillId="0" borderId="1" xfId="0" applyNumberFormat="1" applyFont="1" applyBorder="1"/>
    <xf numFmtId="164" fontId="157" fillId="2" borderId="1" xfId="0" applyNumberFormat="1" applyFont="1" applyFill="1" applyBorder="1"/>
    <xf numFmtId="0" fontId="156" fillId="0" borderId="0" xfId="0" applyFont="1"/>
    <xf numFmtId="0" fontId="38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0" fontId="69" fillId="2" borderId="0" xfId="0" applyFont="1" applyFill="1" applyAlignment="1">
      <alignment horizontal="left" vertical="center"/>
    </xf>
    <xf numFmtId="164" fontId="38" fillId="2" borderId="1" xfId="1" applyNumberFormat="1" applyFont="1" applyFill="1" applyBorder="1" applyAlignment="1">
      <alignment horizontal="left" vertical="center"/>
    </xf>
    <xf numFmtId="164" fontId="37" fillId="2" borderId="1" xfId="1" applyNumberFormat="1" applyFont="1" applyFill="1" applyBorder="1" applyAlignment="1">
      <alignment horizontal="left" vertical="center"/>
    </xf>
    <xf numFmtId="41" fontId="37" fillId="2" borderId="1" xfId="1" applyNumberFormat="1" applyFont="1" applyFill="1" applyBorder="1" applyAlignment="1">
      <alignment horizontal="left" vertical="center"/>
    </xf>
    <xf numFmtId="41" fontId="37" fillId="0" borderId="1" xfId="1" applyNumberFormat="1" applyFont="1" applyFill="1" applyBorder="1" applyAlignment="1">
      <alignment horizontal="left" vertical="center"/>
    </xf>
    <xf numFmtId="164" fontId="38" fillId="0" borderId="1" xfId="1" applyNumberFormat="1" applyFont="1" applyFill="1" applyBorder="1" applyAlignment="1">
      <alignment horizontal="left" vertical="center"/>
    </xf>
    <xf numFmtId="164" fontId="37" fillId="0" borderId="1" xfId="1" applyNumberFormat="1" applyFont="1" applyFill="1" applyBorder="1" applyAlignment="1">
      <alignment horizontal="left" vertical="center"/>
    </xf>
    <xf numFmtId="164" fontId="37" fillId="2" borderId="1" xfId="0" applyNumberFormat="1" applyFont="1" applyFill="1" applyBorder="1" applyAlignment="1">
      <alignment horizontal="left" vertical="center"/>
    </xf>
    <xf numFmtId="164" fontId="37" fillId="0" borderId="1" xfId="0" applyNumberFormat="1" applyFont="1" applyFill="1" applyBorder="1" applyAlignment="1">
      <alignment horizontal="left" vertical="center"/>
    </xf>
    <xf numFmtId="41" fontId="37" fillId="2" borderId="1" xfId="0" applyNumberFormat="1" applyFont="1" applyFill="1" applyBorder="1" applyAlignment="1">
      <alignment horizontal="left" vertical="center"/>
    </xf>
    <xf numFmtId="41" fontId="37" fillId="0" borderId="1" xfId="0" applyNumberFormat="1" applyFont="1" applyFill="1" applyBorder="1" applyAlignment="1">
      <alignment horizontal="left" vertical="center"/>
    </xf>
    <xf numFmtId="41" fontId="38" fillId="2" borderId="1" xfId="0" applyNumberFormat="1" applyFont="1" applyFill="1" applyBorder="1" applyAlignment="1">
      <alignment horizontal="left" vertical="center"/>
    </xf>
    <xf numFmtId="41" fontId="38" fillId="0" borderId="1" xfId="0" applyNumberFormat="1" applyFont="1" applyFill="1" applyBorder="1" applyAlignment="1">
      <alignment horizontal="left" vertical="center"/>
    </xf>
    <xf numFmtId="41" fontId="69" fillId="2" borderId="0" xfId="0" applyNumberFormat="1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left" vertical="center"/>
    </xf>
    <xf numFmtId="164" fontId="69" fillId="2" borderId="0" xfId="0" applyNumberFormat="1" applyFont="1" applyFill="1" applyAlignment="1">
      <alignment horizontal="left" vertical="center"/>
    </xf>
    <xf numFmtId="0" fontId="159" fillId="2" borderId="1" xfId="0" applyFont="1" applyFill="1" applyBorder="1" applyAlignment="1">
      <alignment horizontal="center"/>
    </xf>
    <xf numFmtId="0" fontId="159" fillId="0" borderId="1" xfId="0" applyFont="1" applyFill="1" applyBorder="1" applyAlignment="1">
      <alignment horizontal="center"/>
    </xf>
    <xf numFmtId="164" fontId="160" fillId="0" borderId="1" xfId="1" applyNumberFormat="1" applyFont="1" applyFill="1" applyBorder="1"/>
    <xf numFmtId="0" fontId="158" fillId="0" borderId="1" xfId="0" applyFont="1" applyFill="1" applyBorder="1" applyAlignment="1">
      <alignment horizontal="left"/>
    </xf>
    <xf numFmtId="10" fontId="160" fillId="0" borderId="1" xfId="5" applyNumberFormat="1" applyFont="1" applyFill="1" applyBorder="1"/>
    <xf numFmtId="164" fontId="141" fillId="0" borderId="0" xfId="1" applyNumberFormat="1" applyFont="1"/>
    <xf numFmtId="166" fontId="141" fillId="0" borderId="0" xfId="1" applyNumberFormat="1" applyFont="1"/>
    <xf numFmtId="0" fontId="158" fillId="0" borderId="1" xfId="0" applyFont="1" applyFill="1" applyBorder="1"/>
    <xf numFmtId="0" fontId="158" fillId="0" borderId="1" xfId="0" applyFont="1" applyFill="1" applyBorder="1" applyAlignment="1">
      <alignment wrapText="1"/>
    </xf>
    <xf numFmtId="164" fontId="161" fillId="0" borderId="1" xfId="1" applyNumberFormat="1" applyFont="1" applyFill="1" applyBorder="1"/>
    <xf numFmtId="0" fontId="159" fillId="0" borderId="1" xfId="0" applyFont="1" applyFill="1" applyBorder="1"/>
    <xf numFmtId="10" fontId="161" fillId="0" borderId="1" xfId="5" applyNumberFormat="1" applyFont="1" applyFill="1" applyBorder="1"/>
    <xf numFmtId="164" fontId="150" fillId="0" borderId="0" xfId="0" applyNumberFormat="1" applyFont="1"/>
    <xf numFmtId="165" fontId="150" fillId="0" borderId="0" xfId="0" applyNumberFormat="1" applyFont="1"/>
    <xf numFmtId="0" fontId="150" fillId="0" borderId="0" xfId="0" applyFont="1"/>
    <xf numFmtId="0" fontId="153" fillId="0" borderId="0" xfId="0" applyFont="1" applyAlignment="1">
      <alignment horizontal="center"/>
    </xf>
    <xf numFmtId="164" fontId="111" fillId="0" borderId="0" xfId="0" applyNumberFormat="1" applyFont="1" applyAlignment="1">
      <alignment horizontal="center"/>
    </xf>
    <xf numFmtId="164" fontId="153" fillId="0" borderId="0" xfId="1" applyNumberFormat="1" applyFont="1" applyAlignment="1">
      <alignment horizontal="center"/>
    </xf>
    <xf numFmtId="164" fontId="153" fillId="0" borderId="0" xfId="0" applyNumberFormat="1" applyFont="1" applyAlignment="1">
      <alignment horizontal="center"/>
    </xf>
    <xf numFmtId="164" fontId="111" fillId="0" borderId="0" xfId="1" applyNumberFormat="1" applyFont="1" applyAlignment="1">
      <alignment horizontal="right"/>
    </xf>
    <xf numFmtId="164" fontId="111" fillId="0" borderId="0" xfId="1" applyNumberFormat="1" applyFont="1" applyAlignment="1">
      <alignment horizontal="center"/>
    </xf>
    <xf numFmtId="164" fontId="153" fillId="0" borderId="0" xfId="0" applyNumberFormat="1" applyFont="1" applyAlignment="1">
      <alignment horizontal="right"/>
    </xf>
    <xf numFmtId="9" fontId="153" fillId="0" borderId="0" xfId="0" applyNumberFormat="1" applyFont="1" applyAlignment="1">
      <alignment horizontal="right"/>
    </xf>
    <xf numFmtId="9" fontId="153" fillId="0" borderId="0" xfId="5" applyNumberFormat="1" applyFont="1" applyAlignment="1">
      <alignment horizontal="right"/>
    </xf>
    <xf numFmtId="43" fontId="153" fillId="0" borderId="0" xfId="0" applyNumberFormat="1" applyFont="1" applyAlignment="1">
      <alignment horizontal="center"/>
    </xf>
    <xf numFmtId="0" fontId="70" fillId="0" borderId="4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164" fontId="28" fillId="0" borderId="0" xfId="1" applyNumberFormat="1" applyFont="1" applyAlignment="1">
      <alignment horizontal="center"/>
    </xf>
    <xf numFmtId="164" fontId="28" fillId="0" borderId="1" xfId="1" applyNumberFormat="1" applyFont="1" applyBorder="1" applyAlignment="1">
      <alignment horizontal="center"/>
    </xf>
    <xf numFmtId="164" fontId="50" fillId="0" borderId="0" xfId="1" applyNumberFormat="1" applyFont="1" applyAlignment="1">
      <alignment horizontal="left"/>
    </xf>
    <xf numFmtId="0" fontId="76" fillId="0" borderId="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6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36" fillId="0" borderId="1" xfId="0" applyFont="1" applyBorder="1" applyAlignment="1">
      <alignment horizontal="center"/>
    </xf>
  </cellXfs>
  <cellStyles count="7">
    <cellStyle name="Comma" xfId="1" builtinId="3"/>
    <cellStyle name="Comma 9" xfId="2"/>
    <cellStyle name="Neutral" xfId="6" builtinId="28"/>
    <cellStyle name="Normal" xfId="0" builtinId="0"/>
    <cellStyle name="Normal 2" xfId="4"/>
    <cellStyle name="Normal 9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%20Department/Desktop/Abdisalaan%20docments/My%20Documents/Budget%20of%20%202011xx66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%20Department/Desktop/M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8B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mush 1"/>
      <sheetName val="sum"/>
      <sheetName val="Sheet5"/>
      <sheetName val="Sheet4"/>
      <sheetName val="1.1.0"/>
      <sheetName val="Tahar"/>
      <sheetName val="shaq2"/>
      <sheetName val="shaq,3"/>
      <sheetName val="Shaq"/>
      <sheetName val="sookob2"/>
      <sheetName val="Sheet12"/>
      <sheetName val="Sheet7"/>
      <sheetName val="Sheet13"/>
      <sheetName val="Sheet6"/>
      <sheetName val="Sheet11"/>
      <sheetName val="Sheet10"/>
      <sheetName val="sookob"/>
      <sheetName val="korodh"/>
      <sheetName val="Sheet2"/>
      <sheetName val="Sheet9"/>
      <sheetName val="Sheet8"/>
      <sheetName val="Sheet1"/>
      <sheetName val="B.taga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1">
          <cell r="L51">
            <v>3203181540</v>
          </cell>
        </row>
      </sheetData>
      <sheetData sheetId="33" refreshError="1"/>
      <sheetData sheetId="34" refreshError="1">
        <row r="47">
          <cell r="K47">
            <v>14633732140</v>
          </cell>
        </row>
      </sheetData>
      <sheetData sheetId="35" refreshError="1"/>
      <sheetData sheetId="36" refreshError="1">
        <row r="53">
          <cell r="K53">
            <v>893742585</v>
          </cell>
        </row>
      </sheetData>
      <sheetData sheetId="37" refreshError="1">
        <row r="43">
          <cell r="L43">
            <v>2423412800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3">
          <cell r="L43">
            <v>1641919631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0B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1.1.0"/>
      <sheetName val="Sum 1"/>
      <sheetName val="shaq,3"/>
      <sheetName val="sookob2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9">
          <cell r="H29">
            <v>3324578400</v>
          </cell>
        </row>
      </sheetData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60" zoomScaleNormal="100" workbookViewId="0">
      <selection activeCell="I6" sqref="I6"/>
    </sheetView>
  </sheetViews>
  <sheetFormatPr defaultRowHeight="45" customHeight="1"/>
  <cols>
    <col min="1" max="1" width="11.83203125" style="1006" bestFit="1" customWidth="1"/>
    <col min="2" max="2" width="98.6640625" style="932" bestFit="1" customWidth="1"/>
    <col min="3" max="3" width="45.83203125" style="1006" bestFit="1" customWidth="1"/>
    <col min="4" max="4" width="34.6640625" style="1006" bestFit="1" customWidth="1"/>
    <col min="5" max="5" width="39.6640625" style="932" customWidth="1"/>
    <col min="6" max="6" width="9.33203125" style="932"/>
    <col min="7" max="7" width="14.83203125" style="932" customWidth="1"/>
    <col min="8" max="16384" width="9.33203125" style="932"/>
  </cols>
  <sheetData>
    <row r="1" spans="1:7" ht="45" customHeight="1">
      <c r="A1" s="992" t="s">
        <v>1147</v>
      </c>
      <c r="B1" s="993" t="s">
        <v>1467</v>
      </c>
      <c r="C1" s="992" t="s">
        <v>1468</v>
      </c>
      <c r="D1" s="992" t="s">
        <v>1469</v>
      </c>
    </row>
    <row r="2" spans="1:7" ht="45" customHeight="1">
      <c r="A2" s="994">
        <v>1</v>
      </c>
      <c r="B2" s="995" t="s">
        <v>1470</v>
      </c>
      <c r="C2" s="994">
        <v>106558071724</v>
      </c>
      <c r="D2" s="996">
        <v>6.8605328208979466E-2</v>
      </c>
      <c r="E2" s="997"/>
      <c r="G2" s="998"/>
    </row>
    <row r="3" spans="1:7" ht="45" customHeight="1">
      <c r="A3" s="994">
        <v>2</v>
      </c>
      <c r="B3" s="999" t="s">
        <v>641</v>
      </c>
      <c r="C3" s="994">
        <v>205843785749.82483</v>
      </c>
      <c r="D3" s="996">
        <v>0.13252849129743494</v>
      </c>
      <c r="E3" s="997"/>
    </row>
    <row r="4" spans="1:7" ht="45" customHeight="1">
      <c r="A4" s="994">
        <v>3</v>
      </c>
      <c r="B4" s="999" t="s">
        <v>642</v>
      </c>
      <c r="C4" s="994">
        <v>921141672180.47253</v>
      </c>
      <c r="D4" s="996">
        <v>0.59305903085965905</v>
      </c>
      <c r="E4" s="997"/>
    </row>
    <row r="5" spans="1:7" ht="45" customHeight="1">
      <c r="A5" s="994">
        <v>6</v>
      </c>
      <c r="B5" s="999" t="s">
        <v>644</v>
      </c>
      <c r="C5" s="994">
        <v>11107324313</v>
      </c>
      <c r="D5" s="996">
        <v>7.1512332917461445E-3</v>
      </c>
      <c r="E5" s="997"/>
    </row>
    <row r="6" spans="1:7" ht="45" customHeight="1">
      <c r="A6" s="994">
        <v>7</v>
      </c>
      <c r="B6" s="999" t="s">
        <v>645</v>
      </c>
      <c r="C6" s="994">
        <v>4578982341</v>
      </c>
      <c r="D6" s="996">
        <v>2.9480881296453866E-3</v>
      </c>
      <c r="E6" s="997"/>
    </row>
    <row r="7" spans="1:7" ht="45" customHeight="1">
      <c r="A7" s="994">
        <v>8</v>
      </c>
      <c r="B7" s="999" t="s">
        <v>646</v>
      </c>
      <c r="C7" s="994">
        <v>1000000000</v>
      </c>
      <c r="D7" s="996">
        <v>6.4383042128123957E-4</v>
      </c>
      <c r="E7" s="997"/>
    </row>
    <row r="8" spans="1:7" ht="45" customHeight="1">
      <c r="A8" s="994">
        <v>9</v>
      </c>
      <c r="B8" s="999" t="s">
        <v>647</v>
      </c>
      <c r="C8" s="994">
        <v>2335160018.0000005</v>
      </c>
      <c r="D8" s="996">
        <v>1.5034470581480473E-3</v>
      </c>
      <c r="E8" s="997"/>
    </row>
    <row r="9" spans="1:7" ht="45" customHeight="1">
      <c r="A9" s="994">
        <v>10</v>
      </c>
      <c r="B9" s="999" t="s">
        <v>1471</v>
      </c>
      <c r="C9" s="994">
        <v>35252780</v>
      </c>
      <c r="D9" s="996">
        <v>2.2696812198734857E-5</v>
      </c>
      <c r="E9" s="997"/>
    </row>
    <row r="10" spans="1:7" ht="45" customHeight="1">
      <c r="A10" s="994">
        <v>11</v>
      </c>
      <c r="B10" s="999" t="s">
        <v>1472</v>
      </c>
      <c r="C10" s="994">
        <v>5609670701</v>
      </c>
      <c r="D10" s="996">
        <v>3.6116766506738562E-3</v>
      </c>
      <c r="E10" s="997"/>
    </row>
    <row r="11" spans="1:7" ht="45" customHeight="1">
      <c r="A11" s="994">
        <v>12</v>
      </c>
      <c r="B11" s="999" t="s">
        <v>958</v>
      </c>
      <c r="C11" s="994">
        <v>20000000</v>
      </c>
      <c r="D11" s="996">
        <v>1.2876608425624791E-5</v>
      </c>
      <c r="E11" s="997"/>
    </row>
    <row r="12" spans="1:7" ht="45" customHeight="1">
      <c r="A12" s="994">
        <v>13</v>
      </c>
      <c r="B12" s="999" t="s">
        <v>650</v>
      </c>
      <c r="C12" s="994">
        <v>6000480087.9999971</v>
      </c>
      <c r="D12" s="996">
        <v>3.8632916229467277E-3</v>
      </c>
      <c r="E12" s="997"/>
    </row>
    <row r="13" spans="1:7" ht="45" customHeight="1">
      <c r="A13" s="994">
        <v>14</v>
      </c>
      <c r="B13" s="999" t="s">
        <v>651</v>
      </c>
      <c r="C13" s="994">
        <v>2310563824</v>
      </c>
      <c r="D13" s="996">
        <v>1.4876112802031118E-3</v>
      </c>
      <c r="E13" s="997"/>
    </row>
    <row r="14" spans="1:7" ht="45" customHeight="1">
      <c r="A14" s="994">
        <v>15</v>
      </c>
      <c r="B14" s="999" t="s">
        <v>1473</v>
      </c>
      <c r="C14" s="994">
        <v>1800000000</v>
      </c>
      <c r="D14" s="996">
        <v>1.1588947583062311E-3</v>
      </c>
      <c r="E14" s="997"/>
    </row>
    <row r="15" spans="1:7" ht="45" customHeight="1">
      <c r="A15" s="994">
        <v>16</v>
      </c>
      <c r="B15" s="999" t="s">
        <v>1474</v>
      </c>
      <c r="C15" s="994">
        <v>30000000000</v>
      </c>
      <c r="D15" s="996">
        <v>1.9314912638437185E-2</v>
      </c>
      <c r="E15" s="997"/>
    </row>
    <row r="16" spans="1:7" ht="45" customHeight="1">
      <c r="A16" s="994">
        <v>17</v>
      </c>
      <c r="B16" s="999" t="s">
        <v>1484</v>
      </c>
      <c r="C16" s="994">
        <v>2145000000</v>
      </c>
      <c r="D16" s="996">
        <v>1.3810162536482587E-3</v>
      </c>
      <c r="E16" s="997"/>
    </row>
    <row r="17" spans="1:5" ht="45" customHeight="1">
      <c r="A17" s="994">
        <v>18</v>
      </c>
      <c r="B17" s="999" t="s">
        <v>1475</v>
      </c>
      <c r="C17" s="994">
        <v>39232828840.317154</v>
      </c>
      <c r="D17" s="996">
        <v>2.5259288720316159E-2</v>
      </c>
      <c r="E17" s="997"/>
    </row>
    <row r="18" spans="1:5" ht="45" customHeight="1">
      <c r="A18" s="994">
        <v>19</v>
      </c>
      <c r="B18" s="999" t="s">
        <v>1476</v>
      </c>
      <c r="C18" s="994">
        <v>0</v>
      </c>
      <c r="D18" s="996">
        <v>0</v>
      </c>
      <c r="E18" s="997"/>
    </row>
    <row r="19" spans="1:5" ht="45" customHeight="1">
      <c r="A19" s="994">
        <v>20</v>
      </c>
      <c r="B19" s="999" t="s">
        <v>959</v>
      </c>
      <c r="C19" s="994">
        <v>28270822073</v>
      </c>
      <c r="D19" s="996">
        <v>1.8201615285226555E-2</v>
      </c>
      <c r="E19" s="997"/>
    </row>
    <row r="20" spans="1:5" ht="45" customHeight="1">
      <c r="A20" s="994">
        <v>21</v>
      </c>
      <c r="B20" s="999" t="s">
        <v>960</v>
      </c>
      <c r="C20" s="994">
        <v>35253396880</v>
      </c>
      <c r="D20" s="996">
        <v>2.2697209364845136E-2</v>
      </c>
      <c r="E20" s="997"/>
    </row>
    <row r="21" spans="1:5" ht="45" customHeight="1">
      <c r="A21" s="994">
        <v>22</v>
      </c>
      <c r="B21" s="999" t="s">
        <v>1477</v>
      </c>
      <c r="C21" s="994">
        <v>45556988487</v>
      </c>
      <c r="D21" s="996">
        <v>2.9330975089889789E-2</v>
      </c>
      <c r="E21" s="997"/>
    </row>
    <row r="22" spans="1:5" ht="45" customHeight="1">
      <c r="A22" s="994">
        <v>23</v>
      </c>
      <c r="B22" s="1000" t="s">
        <v>1478</v>
      </c>
      <c r="C22" s="994">
        <v>60000000000</v>
      </c>
      <c r="D22" s="996">
        <v>3.862982527687437E-2</v>
      </c>
      <c r="E22" s="997"/>
    </row>
    <row r="23" spans="1:5" ht="45" customHeight="1">
      <c r="A23" s="994">
        <v>24</v>
      </c>
      <c r="B23" s="1000" t="s">
        <v>1499</v>
      </c>
      <c r="C23" s="994">
        <v>44404022280</v>
      </c>
      <c r="D23" s="996">
        <v>2.8588660371113947E-2</v>
      </c>
      <c r="E23" s="997"/>
    </row>
    <row r="24" spans="1:5" ht="45" customHeight="1">
      <c r="A24" s="1001"/>
      <c r="B24" s="1002" t="s">
        <v>640</v>
      </c>
      <c r="C24" s="1001">
        <f>SUM(C2:C23)</f>
        <v>1553204022279.6145</v>
      </c>
      <c r="D24" s="1003">
        <v>1</v>
      </c>
      <c r="E24" s="997"/>
    </row>
    <row r="25" spans="1:5" ht="45" customHeight="1">
      <c r="A25" s="1004"/>
      <c r="C25" s="1004"/>
      <c r="D25" s="1004"/>
    </row>
    <row r="26" spans="1:5" ht="45" customHeight="1">
      <c r="A26" s="932"/>
      <c r="C26" s="932"/>
      <c r="D26" s="932"/>
    </row>
    <row r="27" spans="1:5" ht="45" customHeight="1">
      <c r="A27" s="932"/>
      <c r="C27" s="932"/>
      <c r="D27" s="932"/>
    </row>
    <row r="28" spans="1:5" ht="45" customHeight="1">
      <c r="A28" s="932"/>
      <c r="C28" s="932"/>
      <c r="D28" s="932"/>
    </row>
    <row r="29" spans="1:5" ht="45" customHeight="1">
      <c r="A29" s="932"/>
      <c r="C29" s="932"/>
      <c r="D29" s="932"/>
    </row>
    <row r="30" spans="1:5" ht="45" customHeight="1">
      <c r="A30" s="932"/>
      <c r="C30" s="932"/>
      <c r="D30" s="932"/>
    </row>
    <row r="31" spans="1:5" ht="45" customHeight="1">
      <c r="A31" s="932"/>
      <c r="C31" s="932"/>
      <c r="D31" s="932"/>
    </row>
    <row r="32" spans="1:5" ht="45" customHeight="1">
      <c r="A32" s="932"/>
      <c r="C32" s="932"/>
      <c r="D32" s="932"/>
    </row>
    <row r="33" spans="1:4" ht="45" customHeight="1">
      <c r="A33" s="932"/>
      <c r="C33" s="932"/>
      <c r="D33" s="932"/>
    </row>
    <row r="34" spans="1:4" ht="45" customHeight="1">
      <c r="A34" s="1004"/>
      <c r="C34" s="1004"/>
      <c r="D34" s="1004"/>
    </row>
    <row r="35" spans="1:4" ht="45" customHeight="1">
      <c r="A35" s="1004"/>
      <c r="C35" s="1004"/>
      <c r="D35" s="1004"/>
    </row>
    <row r="36" spans="1:4" ht="45" customHeight="1">
      <c r="A36" s="1005"/>
      <c r="C36" s="1005"/>
      <c r="D36" s="1005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&amp;C&amp;"Agency FB,Bold"&amp;36SOO KOOBIDA GUUD EE DAKHLIGA MIISAANIYADDA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43"/>
  <sheetViews>
    <sheetView view="pageBreakPreview" zoomScale="60" workbookViewId="0">
      <selection activeCell="AB5" sqref="AB5:AB6"/>
    </sheetView>
  </sheetViews>
  <sheetFormatPr defaultRowHeight="23.1" customHeight="1"/>
  <cols>
    <col min="1" max="1" width="16.6640625" style="503" bestFit="1" customWidth="1"/>
    <col min="2" max="2" width="78.6640625" style="498" customWidth="1"/>
    <col min="3" max="3" width="23.1640625" style="498" hidden="1" customWidth="1"/>
    <col min="4" max="4" width="0.5" style="498" hidden="1" customWidth="1"/>
    <col min="5" max="5" width="0.83203125" style="498" hidden="1" customWidth="1"/>
    <col min="6" max="6" width="19.33203125" style="498" hidden="1" customWidth="1"/>
    <col min="7" max="7" width="0.33203125" style="498" hidden="1" customWidth="1"/>
    <col min="8" max="8" width="3.1640625" style="498" hidden="1" customWidth="1"/>
    <col min="9" max="10" width="1.6640625" style="498" hidden="1" customWidth="1"/>
    <col min="11" max="11" width="27.5" style="498" hidden="1" customWidth="1"/>
    <col min="12" max="12" width="29.83203125" style="498" hidden="1" customWidth="1"/>
    <col min="13" max="14" width="28.6640625" style="498" hidden="1" customWidth="1"/>
    <col min="15" max="15" width="1" style="502" hidden="1" customWidth="1"/>
    <col min="16" max="16" width="0.1640625" style="502" customWidth="1"/>
    <col min="17" max="19" width="29.83203125" style="502" customWidth="1"/>
    <col min="20" max="16384" width="9.33203125" style="498"/>
  </cols>
  <sheetData>
    <row r="1" spans="1:19" ht="23.1" customHeight="1">
      <c r="A1" s="476" t="s">
        <v>39</v>
      </c>
      <c r="B1" s="477" t="s">
        <v>987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23.1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107</v>
      </c>
      <c r="K2" s="286" t="s">
        <v>138</v>
      </c>
      <c r="L2" s="286" t="s">
        <v>260</v>
      </c>
      <c r="M2" s="286" t="s">
        <v>442</v>
      </c>
      <c r="N2" s="286" t="s">
        <v>805</v>
      </c>
      <c r="O2" s="286" t="s">
        <v>871</v>
      </c>
      <c r="P2" s="286" t="s">
        <v>973</v>
      </c>
      <c r="Q2" s="286" t="s">
        <v>1160</v>
      </c>
      <c r="R2" s="286" t="s">
        <v>1320</v>
      </c>
      <c r="S2" s="286" t="s">
        <v>56</v>
      </c>
    </row>
    <row r="3" spans="1:19" ht="23.1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1:19" ht="23.1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>
        <f>170726400+3198000</f>
        <v>173924400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3.1" customHeight="1">
      <c r="A5" s="392">
        <v>21101</v>
      </c>
      <c r="B5" s="246" t="s">
        <v>28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177621600</v>
      </c>
      <c r="L5" s="246">
        <f>404570400+25000000</f>
        <v>429570400</v>
      </c>
      <c r="M5" s="246">
        <v>486470400</v>
      </c>
      <c r="N5" s="246">
        <v>486127200</v>
      </c>
      <c r="O5" s="246">
        <v>705407040</v>
      </c>
      <c r="P5" s="246">
        <v>744419520</v>
      </c>
      <c r="Q5" s="246">
        <v>1040232960</v>
      </c>
      <c r="R5" s="840">
        <v>1328966496</v>
      </c>
      <c r="S5" s="246">
        <f>R5-Q5</f>
        <v>288733536</v>
      </c>
    </row>
    <row r="6" spans="1:19" ht="23.1" customHeight="1">
      <c r="A6" s="392">
        <v>21102</v>
      </c>
      <c r="B6" s="246" t="s">
        <v>394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f>2535276000+2400000</f>
        <v>2537676000</v>
      </c>
      <c r="K6" s="246">
        <v>0</v>
      </c>
      <c r="L6" s="246">
        <v>6396000000</v>
      </c>
      <c r="M6" s="246">
        <v>6396000000</v>
      </c>
      <c r="N6" s="246">
        <v>6396000000</v>
      </c>
      <c r="O6" s="246">
        <v>6396000000</v>
      </c>
      <c r="P6" s="246">
        <v>6396000000</v>
      </c>
      <c r="Q6" s="246">
        <v>6396000000</v>
      </c>
      <c r="R6" s="840">
        <v>6396000000</v>
      </c>
      <c r="S6" s="246">
        <f t="shared" ref="S6:S55" si="0">R6-Q6</f>
        <v>0</v>
      </c>
    </row>
    <row r="7" spans="1:19" ht="23.1" customHeight="1">
      <c r="A7" s="392">
        <v>21102</v>
      </c>
      <c r="B7" s="246" t="s">
        <v>1374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840">
        <v>166000000</v>
      </c>
      <c r="S7" s="246">
        <f t="shared" si="0"/>
        <v>166000000</v>
      </c>
    </row>
    <row r="8" spans="1:19" ht="23.1" customHeight="1">
      <c r="A8" s="392">
        <v>21103</v>
      </c>
      <c r="B8" s="246" t="s">
        <v>808</v>
      </c>
      <c r="C8" s="246"/>
      <c r="D8" s="246"/>
      <c r="E8" s="246"/>
      <c r="F8" s="246"/>
      <c r="G8" s="246"/>
      <c r="H8" s="246"/>
      <c r="I8" s="246"/>
      <c r="J8" s="246"/>
      <c r="K8" s="246">
        <v>2537676000</v>
      </c>
      <c r="L8" s="246">
        <f>1742100000+7200000</f>
        <v>1749300000</v>
      </c>
      <c r="M8" s="246">
        <v>1851300000</v>
      </c>
      <c r="N8" s="246">
        <v>1847700000</v>
      </c>
      <c r="O8" s="246">
        <v>1970100000</v>
      </c>
      <c r="P8" s="246">
        <v>1988100000</v>
      </c>
      <c r="Q8" s="246">
        <v>2312100000</v>
      </c>
      <c r="R8" s="840">
        <v>2330100000</v>
      </c>
      <c r="S8" s="246">
        <f t="shared" si="0"/>
        <v>18000000</v>
      </c>
    </row>
    <row r="9" spans="1:19" s="492" customFormat="1" ht="23.1" customHeight="1">
      <c r="A9" s="392">
        <v>21105</v>
      </c>
      <c r="B9" s="246" t="s">
        <v>526</v>
      </c>
      <c r="C9" s="246">
        <v>2500000</v>
      </c>
      <c r="D9" s="246">
        <v>2000000</v>
      </c>
      <c r="E9" s="246">
        <v>2000000</v>
      </c>
      <c r="F9" s="246">
        <v>2000000</v>
      </c>
      <c r="G9" s="246">
        <v>1600000</v>
      </c>
      <c r="H9" s="246">
        <v>41000000</v>
      </c>
      <c r="I9" s="246">
        <v>41000000</v>
      </c>
      <c r="J9" s="246"/>
      <c r="K9" s="246">
        <v>90864000</v>
      </c>
      <c r="L9" s="246">
        <v>150864000</v>
      </c>
      <c r="M9" s="246">
        <f>L9*70%</f>
        <v>105604800</v>
      </c>
      <c r="N9" s="246">
        <v>105604800</v>
      </c>
      <c r="O9" s="246">
        <v>105604800</v>
      </c>
      <c r="P9" s="246">
        <v>8000000000</v>
      </c>
      <c r="Q9" s="282">
        <v>9566327200</v>
      </c>
      <c r="R9" s="852">
        <v>10618737600</v>
      </c>
      <c r="S9" s="246">
        <f t="shared" si="0"/>
        <v>1052410400</v>
      </c>
    </row>
    <row r="10" spans="1:19" ht="23.1" customHeight="1">
      <c r="A10" s="476">
        <v>2120</v>
      </c>
      <c r="B10" s="280" t="s">
        <v>218</v>
      </c>
      <c r="C10" s="246"/>
      <c r="D10" s="246"/>
      <c r="E10" s="246"/>
      <c r="F10" s="246"/>
      <c r="G10" s="246"/>
      <c r="H10" s="246"/>
      <c r="I10" s="246"/>
      <c r="J10" s="246"/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851">
        <v>0</v>
      </c>
      <c r="S10" s="246">
        <f t="shared" si="0"/>
        <v>0</v>
      </c>
    </row>
    <row r="11" spans="1:19" ht="23.1" customHeight="1">
      <c r="A11" s="392">
        <v>21203</v>
      </c>
      <c r="B11" s="246" t="s">
        <v>223</v>
      </c>
      <c r="C11" s="246">
        <v>18000000</v>
      </c>
      <c r="D11" s="246">
        <f>25000000-2000000</f>
        <v>23000000</v>
      </c>
      <c r="E11" s="246">
        <v>23000000</v>
      </c>
      <c r="F11" s="246">
        <v>23000000</v>
      </c>
      <c r="G11" s="246">
        <v>18400000</v>
      </c>
      <c r="H11" s="246">
        <v>56000000</v>
      </c>
      <c r="I11" s="246">
        <v>100000000</v>
      </c>
      <c r="J11" s="246">
        <v>80000000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840">
        <v>0</v>
      </c>
      <c r="S11" s="246">
        <f t="shared" si="0"/>
        <v>0</v>
      </c>
    </row>
    <row r="12" spans="1:19" ht="23.1" customHeight="1">
      <c r="A12" s="392"/>
      <c r="B12" s="280" t="s">
        <v>92</v>
      </c>
      <c r="C12" s="246">
        <v>11878000</v>
      </c>
      <c r="D12" s="246">
        <f>2000000+2000000</f>
        <v>4000000</v>
      </c>
      <c r="E12" s="246">
        <v>2000000</v>
      </c>
      <c r="F12" s="246">
        <v>2000000</v>
      </c>
      <c r="G12" s="246">
        <v>1600000</v>
      </c>
      <c r="H12" s="246">
        <v>30000000</v>
      </c>
      <c r="I12" s="246">
        <v>60000000</v>
      </c>
      <c r="J12" s="246">
        <v>50000000</v>
      </c>
      <c r="K12" s="280">
        <f t="shared" ref="K12:R12" si="1">SUM(K5:K11)</f>
        <v>2806161600</v>
      </c>
      <c r="L12" s="280">
        <f t="shared" si="1"/>
        <v>8725734400</v>
      </c>
      <c r="M12" s="280">
        <f t="shared" si="1"/>
        <v>8839375200</v>
      </c>
      <c r="N12" s="280">
        <f t="shared" si="1"/>
        <v>8835432000</v>
      </c>
      <c r="O12" s="280">
        <f t="shared" si="1"/>
        <v>9177111840</v>
      </c>
      <c r="P12" s="280">
        <f t="shared" si="1"/>
        <v>17128519520</v>
      </c>
      <c r="Q12" s="280">
        <f t="shared" si="1"/>
        <v>19314660160</v>
      </c>
      <c r="R12" s="851">
        <f t="shared" si="1"/>
        <v>20839804096</v>
      </c>
      <c r="S12" s="280">
        <f t="shared" si="0"/>
        <v>1525143936</v>
      </c>
    </row>
    <row r="13" spans="1:19" ht="23.1" customHeight="1">
      <c r="A13" s="476">
        <v>220</v>
      </c>
      <c r="B13" s="280" t="s">
        <v>225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200000000</v>
      </c>
      <c r="I13" s="246">
        <v>200000000</v>
      </c>
      <c r="J13" s="246">
        <v>280000000</v>
      </c>
      <c r="K13" s="246"/>
      <c r="L13" s="246"/>
      <c r="M13" s="246"/>
      <c r="N13" s="246"/>
      <c r="O13" s="246"/>
      <c r="P13" s="246"/>
      <c r="Q13" s="246"/>
      <c r="R13" s="840"/>
      <c r="S13" s="246">
        <f t="shared" si="0"/>
        <v>0</v>
      </c>
    </row>
    <row r="14" spans="1:19" ht="23.1" customHeight="1">
      <c r="A14" s="476">
        <v>2210</v>
      </c>
      <c r="B14" s="280" t="s">
        <v>226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840"/>
      <c r="S14" s="246">
        <f t="shared" si="0"/>
        <v>0</v>
      </c>
    </row>
    <row r="15" spans="1:19" ht="23.1" customHeight="1">
      <c r="A15" s="392">
        <v>22101</v>
      </c>
      <c r="B15" s="246" t="s">
        <v>33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356850000</v>
      </c>
      <c r="I15" s="246">
        <v>0</v>
      </c>
      <c r="J15" s="246">
        <v>84000000</v>
      </c>
      <c r="K15" s="246">
        <v>200000000</v>
      </c>
      <c r="L15" s="246">
        <v>150000000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840">
        <v>0</v>
      </c>
      <c r="S15" s="246">
        <f t="shared" si="0"/>
        <v>0</v>
      </c>
    </row>
    <row r="16" spans="1:19" ht="23.1" customHeight="1">
      <c r="A16" s="392">
        <v>22102</v>
      </c>
      <c r="B16" s="246" t="s">
        <v>124</v>
      </c>
      <c r="C16" s="246">
        <v>1500000</v>
      </c>
      <c r="D16" s="246">
        <v>5500000</v>
      </c>
      <c r="E16" s="246">
        <v>500000</v>
      </c>
      <c r="F16" s="246">
        <v>500000</v>
      </c>
      <c r="G16" s="246">
        <v>400000</v>
      </c>
      <c r="H16" s="246">
        <v>12000000</v>
      </c>
      <c r="I16" s="246">
        <v>20000000</v>
      </c>
      <c r="J16" s="246">
        <v>20000000</v>
      </c>
      <c r="K16" s="246">
        <v>150000000</v>
      </c>
      <c r="L16" s="246">
        <v>150000000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840">
        <v>0</v>
      </c>
      <c r="S16" s="246">
        <f t="shared" si="0"/>
        <v>0</v>
      </c>
    </row>
    <row r="17" spans="1:19" ht="23.1" customHeight="1">
      <c r="A17" s="392">
        <v>22103</v>
      </c>
      <c r="B17" s="246" t="s">
        <v>125</v>
      </c>
      <c r="C17" s="246"/>
      <c r="D17" s="246"/>
      <c r="E17" s="246"/>
      <c r="F17" s="246"/>
      <c r="G17" s="246"/>
      <c r="H17" s="246"/>
      <c r="I17" s="246"/>
      <c r="J17" s="246"/>
      <c r="K17" s="246">
        <v>140000000</v>
      </c>
      <c r="L17" s="246">
        <f>140000000+500000000</f>
        <v>640000000</v>
      </c>
      <c r="M17" s="246">
        <v>538000000</v>
      </c>
      <c r="N17" s="246">
        <v>668000000</v>
      </c>
      <c r="O17" s="246">
        <f>N17</f>
        <v>668000000</v>
      </c>
      <c r="P17" s="246">
        <v>100000000</v>
      </c>
      <c r="Q17" s="246">
        <v>400000000</v>
      </c>
      <c r="R17" s="840">
        <v>500000000</v>
      </c>
      <c r="S17" s="246">
        <f t="shared" si="0"/>
        <v>100000000</v>
      </c>
    </row>
    <row r="18" spans="1:19" ht="23.1" customHeight="1">
      <c r="A18" s="392">
        <v>22104</v>
      </c>
      <c r="B18" s="246" t="s">
        <v>157</v>
      </c>
      <c r="C18" s="246"/>
      <c r="D18" s="246"/>
      <c r="E18" s="246"/>
      <c r="F18" s="246"/>
      <c r="G18" s="246"/>
      <c r="H18" s="246"/>
      <c r="I18" s="246"/>
      <c r="J18" s="246"/>
      <c r="K18" s="246">
        <v>180000000</v>
      </c>
      <c r="L18" s="246">
        <f>180000000+50000000</f>
        <v>230000000</v>
      </c>
      <c r="M18" s="246">
        <f>180000000+50000000</f>
        <v>230000000</v>
      </c>
      <c r="N18" s="246">
        <f>180000000+50000000</f>
        <v>230000000</v>
      </c>
      <c r="O18" s="246">
        <f>180000000+50000000</f>
        <v>230000000</v>
      </c>
      <c r="P18" s="246">
        <v>100000000</v>
      </c>
      <c r="Q18" s="246">
        <v>250000000</v>
      </c>
      <c r="R18" s="840">
        <v>250000000</v>
      </c>
      <c r="S18" s="246">
        <f t="shared" si="0"/>
        <v>0</v>
      </c>
    </row>
    <row r="19" spans="1:19" ht="23.1" customHeight="1">
      <c r="A19" s="392">
        <v>22105</v>
      </c>
      <c r="B19" s="246" t="s">
        <v>135</v>
      </c>
      <c r="C19" s="246"/>
      <c r="D19" s="246"/>
      <c r="E19" s="246"/>
      <c r="F19" s="246"/>
      <c r="G19" s="246"/>
      <c r="H19" s="246"/>
      <c r="I19" s="246"/>
      <c r="J19" s="246"/>
      <c r="K19" s="246">
        <v>93600000</v>
      </c>
      <c r="L19" s="246">
        <v>11700000</v>
      </c>
      <c r="M19" s="246">
        <v>11700000</v>
      </c>
      <c r="N19" s="246">
        <v>11700000</v>
      </c>
      <c r="O19" s="246">
        <v>11700000</v>
      </c>
      <c r="P19" s="246">
        <v>335700000</v>
      </c>
      <c r="Q19" s="246">
        <v>20700000</v>
      </c>
      <c r="R19" s="840">
        <v>20700000</v>
      </c>
      <c r="S19" s="246">
        <f t="shared" si="0"/>
        <v>0</v>
      </c>
    </row>
    <row r="20" spans="1:19" ht="23.1" customHeight="1">
      <c r="A20" s="392">
        <v>22106</v>
      </c>
      <c r="B20" s="246" t="s">
        <v>126</v>
      </c>
      <c r="C20" s="246">
        <v>2500000</v>
      </c>
      <c r="D20" s="246">
        <v>2000000</v>
      </c>
      <c r="E20" s="246">
        <v>2000000</v>
      </c>
      <c r="F20" s="246">
        <v>2000000</v>
      </c>
      <c r="G20" s="246">
        <v>1600000</v>
      </c>
      <c r="H20" s="246">
        <v>41000000</v>
      </c>
      <c r="I20" s="246">
        <v>41000000</v>
      </c>
      <c r="J20" s="246">
        <v>31000000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840">
        <v>0</v>
      </c>
      <c r="S20" s="246">
        <f t="shared" si="0"/>
        <v>0</v>
      </c>
    </row>
    <row r="21" spans="1:19" s="492" customFormat="1" ht="23.1" customHeight="1">
      <c r="A21" s="392">
        <v>22107</v>
      </c>
      <c r="B21" s="246" t="s">
        <v>48</v>
      </c>
      <c r="C21" s="246">
        <f t="shared" ref="C21:J21" si="2">SUM(C15:C20)</f>
        <v>4000000</v>
      </c>
      <c r="D21" s="246">
        <f t="shared" si="2"/>
        <v>7500000</v>
      </c>
      <c r="E21" s="246">
        <f t="shared" si="2"/>
        <v>2500000</v>
      </c>
      <c r="F21" s="246">
        <f t="shared" si="2"/>
        <v>2500000</v>
      </c>
      <c r="G21" s="246">
        <f t="shared" si="2"/>
        <v>2000000</v>
      </c>
      <c r="H21" s="246">
        <f t="shared" si="2"/>
        <v>409850000</v>
      </c>
      <c r="I21" s="280">
        <f t="shared" si="2"/>
        <v>61000000</v>
      </c>
      <c r="J21" s="280">
        <f t="shared" si="2"/>
        <v>135000000</v>
      </c>
      <c r="K21" s="246">
        <v>90000000</v>
      </c>
      <c r="L21" s="246">
        <f>90000000+50000000</f>
        <v>140000000</v>
      </c>
      <c r="M21" s="246">
        <f>L21*70%</f>
        <v>98000000</v>
      </c>
      <c r="N21" s="246">
        <v>98000000</v>
      </c>
      <c r="O21" s="246">
        <v>150000000</v>
      </c>
      <c r="P21" s="246">
        <v>30000000</v>
      </c>
      <c r="Q21" s="246">
        <v>250000000</v>
      </c>
      <c r="R21" s="840">
        <v>250000000</v>
      </c>
      <c r="S21" s="246">
        <f t="shared" si="0"/>
        <v>0</v>
      </c>
    </row>
    <row r="22" spans="1:19" ht="23.1" customHeight="1">
      <c r="A22" s="392">
        <v>22108</v>
      </c>
      <c r="B22" s="246" t="s">
        <v>93</v>
      </c>
      <c r="C22" s="246"/>
      <c r="D22" s="246"/>
      <c r="E22" s="246"/>
      <c r="F22" s="246"/>
      <c r="G22" s="246"/>
      <c r="H22" s="246"/>
      <c r="I22" s="246"/>
      <c r="J22" s="246"/>
      <c r="K22" s="280">
        <v>0</v>
      </c>
      <c r="L22" s="280">
        <v>0</v>
      </c>
      <c r="M22" s="246">
        <v>269954400</v>
      </c>
      <c r="N22" s="246">
        <v>269954400</v>
      </c>
      <c r="O22" s="246">
        <v>569954400</v>
      </c>
      <c r="P22" s="246">
        <v>0</v>
      </c>
      <c r="Q22" s="246">
        <v>300000000</v>
      </c>
      <c r="R22" s="840">
        <v>300000000</v>
      </c>
      <c r="S22" s="246">
        <f t="shared" si="0"/>
        <v>0</v>
      </c>
    </row>
    <row r="23" spans="1:19" ht="23.1" customHeight="1">
      <c r="A23" s="392">
        <v>22109</v>
      </c>
      <c r="B23" s="246" t="s">
        <v>136</v>
      </c>
      <c r="C23" s="246">
        <v>23000000</v>
      </c>
      <c r="D23" s="246">
        <v>15000000</v>
      </c>
      <c r="E23" s="246">
        <v>8949700</v>
      </c>
      <c r="F23" s="246">
        <v>8949700</v>
      </c>
      <c r="G23" s="246">
        <v>12000000</v>
      </c>
      <c r="H23" s="246">
        <v>80000000</v>
      </c>
      <c r="I23" s="246">
        <v>80000000</v>
      </c>
      <c r="J23" s="246">
        <v>80000000</v>
      </c>
      <c r="K23" s="246">
        <v>63256000</v>
      </c>
      <c r="L23" s="246">
        <f>63256000+20000000</f>
        <v>83256000</v>
      </c>
      <c r="M23" s="246">
        <f>63256000+20000000</f>
        <v>83256000</v>
      </c>
      <c r="N23" s="246">
        <f>63256000+20000000</f>
        <v>83256000</v>
      </c>
      <c r="O23" s="246">
        <f>63256000+20000000</f>
        <v>83256000</v>
      </c>
      <c r="P23" s="246">
        <v>20000000</v>
      </c>
      <c r="Q23" s="246">
        <v>83000000</v>
      </c>
      <c r="R23" s="840">
        <v>200000000</v>
      </c>
      <c r="S23" s="246">
        <f t="shared" si="0"/>
        <v>117000000</v>
      </c>
    </row>
    <row r="24" spans="1:19" ht="23.1" customHeight="1">
      <c r="A24" s="392">
        <v>22112</v>
      </c>
      <c r="B24" s="246" t="s">
        <v>35</v>
      </c>
      <c r="C24" s="246">
        <v>10061000</v>
      </c>
      <c r="D24" s="246">
        <v>2000000</v>
      </c>
      <c r="E24" s="246">
        <v>0</v>
      </c>
      <c r="F24" s="246">
        <v>0</v>
      </c>
      <c r="G24" s="246">
        <v>0</v>
      </c>
      <c r="H24" s="246">
        <v>30000000</v>
      </c>
      <c r="I24" s="246">
        <v>40000000</v>
      </c>
      <c r="J24" s="246">
        <v>30000000</v>
      </c>
      <c r="K24" s="246">
        <v>80000000</v>
      </c>
      <c r="L24" s="246">
        <f>80000000+60000000</f>
        <v>140000000</v>
      </c>
      <c r="M24" s="246">
        <v>100000000</v>
      </c>
      <c r="N24" s="246">
        <v>100000000</v>
      </c>
      <c r="O24" s="246">
        <v>100000000</v>
      </c>
      <c r="P24" s="246">
        <v>100000000</v>
      </c>
      <c r="Q24" s="246">
        <v>150000000</v>
      </c>
      <c r="R24" s="840">
        <v>150000000</v>
      </c>
      <c r="S24" s="246">
        <f t="shared" si="0"/>
        <v>0</v>
      </c>
    </row>
    <row r="25" spans="1:19" ht="23.1" customHeight="1">
      <c r="A25" s="392">
        <v>22122</v>
      </c>
      <c r="B25" s="246" t="s">
        <v>1222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>
        <v>0</v>
      </c>
      <c r="P25" s="246"/>
      <c r="Q25" s="246">
        <v>100000000</v>
      </c>
      <c r="R25" s="840">
        <v>200000000</v>
      </c>
      <c r="S25" s="246">
        <f t="shared" si="0"/>
        <v>100000000</v>
      </c>
    </row>
    <row r="26" spans="1:19" ht="23.1" customHeight="1">
      <c r="A26" s="392">
        <v>22129</v>
      </c>
      <c r="B26" s="246" t="s">
        <v>395</v>
      </c>
      <c r="C26" s="246"/>
      <c r="D26" s="246"/>
      <c r="E26" s="246"/>
      <c r="F26" s="246"/>
      <c r="G26" s="246"/>
      <c r="H26" s="246"/>
      <c r="I26" s="246"/>
      <c r="J26" s="246"/>
      <c r="K26" s="246">
        <v>0</v>
      </c>
      <c r="L26" s="246">
        <f>30000000+50000000</f>
        <v>80000000</v>
      </c>
      <c r="M26" s="246">
        <v>0</v>
      </c>
      <c r="N26" s="246">
        <v>0</v>
      </c>
      <c r="O26" s="246">
        <v>0</v>
      </c>
      <c r="P26" s="246">
        <v>0</v>
      </c>
      <c r="Q26" s="246">
        <v>50000000</v>
      </c>
      <c r="R26" s="840">
        <v>50000000</v>
      </c>
      <c r="S26" s="246">
        <f t="shared" si="0"/>
        <v>0</v>
      </c>
    </row>
    <row r="27" spans="1:19" ht="23.1" customHeight="1">
      <c r="A27" s="392">
        <v>22132</v>
      </c>
      <c r="B27" s="246" t="s">
        <v>187</v>
      </c>
      <c r="C27" s="246">
        <v>3000000</v>
      </c>
      <c r="D27" s="246">
        <v>1500000</v>
      </c>
      <c r="E27" s="246">
        <v>0</v>
      </c>
      <c r="F27" s="246">
        <v>0</v>
      </c>
      <c r="G27" s="246">
        <v>0</v>
      </c>
      <c r="H27" s="246">
        <v>15000000</v>
      </c>
      <c r="I27" s="246">
        <v>20000000</v>
      </c>
      <c r="J27" s="246">
        <v>20000000</v>
      </c>
      <c r="K27" s="246">
        <v>900000000</v>
      </c>
      <c r="L27" s="246">
        <f>600000000+606200000</f>
        <v>1206200000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840">
        <v>0</v>
      </c>
      <c r="S27" s="246">
        <f t="shared" si="0"/>
        <v>0</v>
      </c>
    </row>
    <row r="28" spans="1:19" ht="23.1" customHeight="1">
      <c r="A28" s="392">
        <v>22134</v>
      </c>
      <c r="B28" s="246" t="s">
        <v>142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40000000</v>
      </c>
      <c r="I28" s="246">
        <v>70000000</v>
      </c>
      <c r="J28" s="246">
        <v>70000000</v>
      </c>
      <c r="K28" s="246">
        <v>756200000</v>
      </c>
      <c r="L28" s="246">
        <v>1000000000</v>
      </c>
      <c r="M28" s="246">
        <v>1276200000</v>
      </c>
      <c r="N28" s="246">
        <v>2126200000</v>
      </c>
      <c r="O28" s="246">
        <v>4126200000</v>
      </c>
      <c r="P28" s="246">
        <v>0</v>
      </c>
      <c r="Q28" s="246">
        <v>180000000</v>
      </c>
      <c r="R28" s="840">
        <v>680000000</v>
      </c>
      <c r="S28" s="246">
        <f t="shared" si="0"/>
        <v>500000000</v>
      </c>
    </row>
    <row r="29" spans="1:19" ht="23.1" customHeight="1">
      <c r="A29" s="392">
        <v>22137</v>
      </c>
      <c r="B29" s="246" t="s">
        <v>546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>
        <v>480000000</v>
      </c>
      <c r="N29" s="246">
        <v>630000000</v>
      </c>
      <c r="O29" s="246">
        <v>720000000</v>
      </c>
      <c r="P29" s="246">
        <v>330000000</v>
      </c>
      <c r="Q29" s="246">
        <v>1344200000</v>
      </c>
      <c r="R29" s="840">
        <v>1594200000</v>
      </c>
      <c r="S29" s="246">
        <f t="shared" si="0"/>
        <v>250000000</v>
      </c>
    </row>
    <row r="30" spans="1:19" ht="23.1" customHeight="1">
      <c r="A30" s="392"/>
      <c r="B30" s="280" t="s">
        <v>92</v>
      </c>
      <c r="C30" s="246">
        <v>0</v>
      </c>
      <c r="D30" s="246">
        <v>0</v>
      </c>
      <c r="E30" s="246">
        <v>0</v>
      </c>
      <c r="F30" s="246">
        <v>0</v>
      </c>
      <c r="G30" s="246">
        <v>16000000</v>
      </c>
      <c r="H30" s="246">
        <v>360113000</v>
      </c>
      <c r="I30" s="246">
        <v>208212162</v>
      </c>
      <c r="J30" s="246">
        <v>330000000</v>
      </c>
      <c r="K30" s="280">
        <f>SUM(K15:K28)</f>
        <v>2653056000</v>
      </c>
      <c r="L30" s="280">
        <f>SUM(L15:L28)</f>
        <v>3831156000</v>
      </c>
      <c r="M30" s="280">
        <f ca="1">SUM(M15:M53)</f>
        <v>3222110400</v>
      </c>
      <c r="N30" s="280">
        <f ca="1">SUM(N15:N53)</f>
        <v>4377110400</v>
      </c>
      <c r="O30" s="280">
        <f ca="1">SUM(O15:O53)</f>
        <v>6759110400</v>
      </c>
      <c r="P30" s="280">
        <f>SUM(P15:P29)</f>
        <v>1015700000</v>
      </c>
      <c r="Q30" s="280">
        <f>SUM(Q15:Q29)</f>
        <v>3127900000</v>
      </c>
      <c r="R30" s="851">
        <f>SUM(R15:R29)</f>
        <v>4194900000</v>
      </c>
      <c r="S30" s="280">
        <f t="shared" si="0"/>
        <v>1067000000</v>
      </c>
    </row>
    <row r="31" spans="1:19" ht="23.1" customHeight="1">
      <c r="A31" s="476">
        <v>2220</v>
      </c>
      <c r="B31" s="280" t="s">
        <v>240</v>
      </c>
      <c r="C31" s="246"/>
      <c r="D31" s="246"/>
      <c r="E31" s="246"/>
      <c r="F31" s="246"/>
      <c r="G31" s="246"/>
      <c r="H31" s="246"/>
      <c r="I31" s="246">
        <v>0</v>
      </c>
      <c r="J31" s="246">
        <v>35000000</v>
      </c>
      <c r="K31" s="280"/>
      <c r="L31" s="280"/>
      <c r="M31" s="280"/>
      <c r="N31" s="280"/>
      <c r="O31" s="280"/>
      <c r="P31" s="280"/>
      <c r="Q31" s="280"/>
      <c r="R31" s="851"/>
      <c r="S31" s="246">
        <f t="shared" si="0"/>
        <v>0</v>
      </c>
    </row>
    <row r="32" spans="1:19" ht="23.1" customHeight="1">
      <c r="A32" s="392">
        <v>22201</v>
      </c>
      <c r="B32" s="246" t="s">
        <v>132</v>
      </c>
      <c r="C32" s="280" t="e">
        <f>#REF!+#REF!+#REF!+#REF!+#REF!</f>
        <v>#REF!</v>
      </c>
      <c r="D32" s="280" t="e">
        <f>#REF!+#REF!+#REF!+#REF!+#REF!</f>
        <v>#REF!</v>
      </c>
      <c r="E32" s="280" t="e">
        <f>#REF!+#REF!+#REF!+#REF!+#REF!</f>
        <v>#REF!</v>
      </c>
      <c r="F32" s="280" t="e">
        <f>#REF!+#REF!+#REF!+#REF!+#REF!</f>
        <v>#REF!</v>
      </c>
      <c r="G32" s="280" t="e">
        <f>#REF!+#REF!+#REF!+#REF!+#REF!</f>
        <v>#REF!</v>
      </c>
      <c r="H32" s="280" t="e">
        <f>#REF!+#REF!+#REF!+#REF!+#REF!</f>
        <v>#REF!</v>
      </c>
      <c r="I32" s="280" t="e">
        <f>#REF!+#REF!+#REF!+#REF!+#REF!</f>
        <v>#REF!</v>
      </c>
      <c r="J32" s="280" t="e">
        <f>#REF!+#REF!+#REF!+#REF!+#REF!</f>
        <v>#REF!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840">
        <v>0</v>
      </c>
      <c r="S32" s="246">
        <f t="shared" si="0"/>
        <v>0</v>
      </c>
    </row>
    <row r="33" spans="1:19" s="492" customFormat="1" ht="23.1" customHeight="1">
      <c r="A33" s="392">
        <v>22202</v>
      </c>
      <c r="B33" s="246" t="s">
        <v>133</v>
      </c>
      <c r="C33" s="292"/>
      <c r="D33" s="292"/>
      <c r="E33" s="292"/>
      <c r="F33" s="274">
        <v>0</v>
      </c>
      <c r="G33" s="274" t="s">
        <v>4</v>
      </c>
      <c r="H33" s="274"/>
      <c r="I33" s="274"/>
      <c r="J33" s="274"/>
      <c r="K33" s="246">
        <v>300000000</v>
      </c>
      <c r="L33" s="246">
        <f>300000000+100000000</f>
        <v>400000000</v>
      </c>
      <c r="M33" s="246">
        <f>L33*80%</f>
        <v>320000000</v>
      </c>
      <c r="N33" s="246">
        <v>730000000</v>
      </c>
      <c r="O33" s="246">
        <v>730000000</v>
      </c>
      <c r="P33" s="246">
        <v>200000000</v>
      </c>
      <c r="Q33" s="246">
        <v>450000000</v>
      </c>
      <c r="R33" s="840">
        <v>450000000</v>
      </c>
      <c r="S33" s="246">
        <f t="shared" si="0"/>
        <v>0</v>
      </c>
    </row>
    <row r="34" spans="1:19" s="492" customFormat="1" ht="23.1" customHeight="1">
      <c r="A34" s="392">
        <v>22203</v>
      </c>
      <c r="B34" s="246" t="s">
        <v>127</v>
      </c>
      <c r="C34" s="292"/>
      <c r="D34" s="292"/>
      <c r="E34" s="292"/>
      <c r="F34" s="274"/>
      <c r="G34" s="274"/>
      <c r="H34" s="274"/>
      <c r="I34" s="274"/>
      <c r="J34" s="274"/>
      <c r="K34" s="246">
        <v>100000000</v>
      </c>
      <c r="L34" s="246">
        <f>100000000+50000000</f>
        <v>150000000</v>
      </c>
      <c r="M34" s="246">
        <f>100000000+50000000</f>
        <v>150000000</v>
      </c>
      <c r="N34" s="246">
        <f>100000000+50000000</f>
        <v>150000000</v>
      </c>
      <c r="O34" s="246">
        <f>100000000+50000000</f>
        <v>150000000</v>
      </c>
      <c r="P34" s="246">
        <v>100000000</v>
      </c>
      <c r="Q34" s="246">
        <v>150000000</v>
      </c>
      <c r="R34" s="840">
        <v>150000000</v>
      </c>
      <c r="S34" s="246">
        <f t="shared" si="0"/>
        <v>0</v>
      </c>
    </row>
    <row r="35" spans="1:19" ht="23.1" customHeight="1">
      <c r="A35" s="392">
        <v>22204</v>
      </c>
      <c r="B35" s="246" t="s">
        <v>128</v>
      </c>
      <c r="C35" s="246"/>
      <c r="D35" s="246"/>
      <c r="E35" s="246"/>
      <c r="F35" s="246"/>
      <c r="G35" s="246"/>
      <c r="H35" s="246"/>
      <c r="I35" s="246"/>
      <c r="J35" s="246"/>
      <c r="K35" s="274">
        <v>60000000</v>
      </c>
      <c r="L35" s="274">
        <f>60000000</f>
        <v>60000000</v>
      </c>
      <c r="M35" s="274">
        <f>60000000</f>
        <v>60000000</v>
      </c>
      <c r="N35" s="274">
        <f>60000000</f>
        <v>60000000</v>
      </c>
      <c r="O35" s="274">
        <f>60000000</f>
        <v>60000000</v>
      </c>
      <c r="P35" s="274">
        <v>20000000</v>
      </c>
      <c r="Q35" s="274">
        <v>200000000</v>
      </c>
      <c r="R35" s="853">
        <v>250000000</v>
      </c>
      <c r="S35" s="246">
        <f t="shared" si="0"/>
        <v>50000000</v>
      </c>
    </row>
    <row r="36" spans="1:19" ht="23.1" customHeight="1">
      <c r="A36" s="392"/>
      <c r="B36" s="280" t="s">
        <v>92</v>
      </c>
      <c r="C36" s="246">
        <v>10089000</v>
      </c>
      <c r="D36" s="246">
        <v>10004000</v>
      </c>
      <c r="E36" s="246">
        <v>20004000</v>
      </c>
      <c r="F36" s="246">
        <v>20004000</v>
      </c>
      <c r="G36" s="246">
        <v>40003200</v>
      </c>
      <c r="H36" s="246">
        <v>100000000</v>
      </c>
      <c r="I36" s="246">
        <v>100000000</v>
      </c>
      <c r="J36" s="246">
        <v>100000000</v>
      </c>
      <c r="K36" s="280">
        <f t="shared" ref="K36:P36" si="3">SUM(K32:K35)</f>
        <v>460000000</v>
      </c>
      <c r="L36" s="280">
        <f t="shared" si="3"/>
        <v>610000000</v>
      </c>
      <c r="M36" s="280">
        <f t="shared" si="3"/>
        <v>530000000</v>
      </c>
      <c r="N36" s="280">
        <f t="shared" si="3"/>
        <v>940000000</v>
      </c>
      <c r="O36" s="280">
        <f t="shared" si="3"/>
        <v>940000000</v>
      </c>
      <c r="P36" s="280">
        <f t="shared" si="3"/>
        <v>320000000</v>
      </c>
      <c r="Q36" s="280">
        <f>SUM(Q32:Q35)</f>
        <v>800000000</v>
      </c>
      <c r="R36" s="851">
        <f>SUM(R32:R35)</f>
        <v>850000000</v>
      </c>
      <c r="S36" s="280">
        <f t="shared" si="0"/>
        <v>50000000</v>
      </c>
    </row>
    <row r="37" spans="1:19" ht="23.1" customHeight="1">
      <c r="A37" s="476">
        <v>2230</v>
      </c>
      <c r="B37" s="280" t="s">
        <v>130</v>
      </c>
      <c r="C37" s="246">
        <v>0</v>
      </c>
      <c r="D37" s="246">
        <v>0</v>
      </c>
      <c r="E37" s="246">
        <v>0</v>
      </c>
      <c r="F37" s="246">
        <v>0</v>
      </c>
      <c r="G37" s="246">
        <v>0</v>
      </c>
      <c r="H37" s="246">
        <v>616200000</v>
      </c>
      <c r="I37" s="246">
        <v>616200000</v>
      </c>
      <c r="J37" s="246">
        <v>616200000</v>
      </c>
      <c r="K37" s="246"/>
      <c r="L37" s="246"/>
      <c r="M37" s="246"/>
      <c r="N37" s="246"/>
      <c r="O37" s="246"/>
      <c r="P37" s="246"/>
      <c r="Q37" s="246"/>
      <c r="R37" s="840"/>
      <c r="S37" s="246">
        <f t="shared" si="0"/>
        <v>0</v>
      </c>
    </row>
    <row r="38" spans="1:19" ht="23.1" customHeight="1">
      <c r="A38" s="392">
        <v>22301</v>
      </c>
      <c r="B38" s="246" t="s">
        <v>49</v>
      </c>
      <c r="C38" s="246">
        <v>13333000</v>
      </c>
      <c r="D38" s="246">
        <v>5000000</v>
      </c>
      <c r="E38" s="246">
        <v>0</v>
      </c>
      <c r="F38" s="246">
        <v>0</v>
      </c>
      <c r="G38" s="246">
        <v>0</v>
      </c>
      <c r="H38" s="246">
        <v>100000000</v>
      </c>
      <c r="I38" s="246">
        <v>70000000</v>
      </c>
      <c r="J38" s="246">
        <v>70000000</v>
      </c>
      <c r="K38" s="246">
        <v>120000000</v>
      </c>
      <c r="L38" s="246">
        <f>120000000+75000000</f>
        <v>195000000</v>
      </c>
      <c r="M38" s="246">
        <v>200000000</v>
      </c>
      <c r="N38" s="246">
        <v>200000000</v>
      </c>
      <c r="O38" s="246">
        <v>200000000</v>
      </c>
      <c r="P38" s="246">
        <v>50000000</v>
      </c>
      <c r="Q38" s="246">
        <v>200000000</v>
      </c>
      <c r="R38" s="840">
        <v>300000000</v>
      </c>
      <c r="S38" s="246">
        <f t="shared" si="0"/>
        <v>100000000</v>
      </c>
    </row>
    <row r="39" spans="1:19" ht="23.1" customHeight="1">
      <c r="A39" s="392">
        <v>22302</v>
      </c>
      <c r="B39" s="246" t="s">
        <v>249</v>
      </c>
      <c r="C39" s="246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40000000</v>
      </c>
      <c r="L39" s="246">
        <f>40000000+50000000</f>
        <v>90000000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840">
        <v>200000000</v>
      </c>
      <c r="S39" s="246">
        <f t="shared" si="0"/>
        <v>200000000</v>
      </c>
    </row>
    <row r="40" spans="1:19" ht="23.1" customHeight="1">
      <c r="A40" s="392">
        <v>22313</v>
      </c>
      <c r="B40" s="246" t="s">
        <v>251</v>
      </c>
      <c r="C40" s="280">
        <f t="shared" ref="C40:J40" si="4">SUM(C38:C39)</f>
        <v>13333000</v>
      </c>
      <c r="D40" s="280">
        <f t="shared" si="4"/>
        <v>5000000</v>
      </c>
      <c r="E40" s="280">
        <f t="shared" si="4"/>
        <v>0</v>
      </c>
      <c r="F40" s="280">
        <f t="shared" si="4"/>
        <v>0</v>
      </c>
      <c r="G40" s="280">
        <f t="shared" si="4"/>
        <v>0</v>
      </c>
      <c r="H40" s="280">
        <f t="shared" si="4"/>
        <v>100000000</v>
      </c>
      <c r="I40" s="280">
        <f t="shared" si="4"/>
        <v>70000000</v>
      </c>
      <c r="J40" s="280">
        <f t="shared" si="4"/>
        <v>70000000</v>
      </c>
      <c r="K40" s="246">
        <v>20000000</v>
      </c>
      <c r="L40" s="246">
        <f>20000000+20000000</f>
        <v>40000000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840">
        <v>0</v>
      </c>
      <c r="S40" s="246">
        <f t="shared" si="0"/>
        <v>0</v>
      </c>
    </row>
    <row r="41" spans="1:19" ht="23.1" customHeight="1">
      <c r="A41" s="392"/>
      <c r="B41" s="280" t="s">
        <v>92</v>
      </c>
      <c r="C41" s="280" t="e">
        <f>C40+#REF!+C35+C21+#REF!</f>
        <v>#REF!</v>
      </c>
      <c r="D41" s="280" t="e">
        <f>D40+#REF!+D35+D21+#REF!</f>
        <v>#REF!</v>
      </c>
      <c r="E41" s="280" t="e">
        <f>E40+#REF!+E35+E21+#REF!</f>
        <v>#REF!</v>
      </c>
      <c r="F41" s="280" t="e">
        <f>F40+#REF!+F35+F21+#REF!</f>
        <v>#REF!</v>
      </c>
      <c r="G41" s="280" t="e">
        <f>G40+#REF!+G21+G35+#REF!</f>
        <v>#REF!</v>
      </c>
      <c r="H41" s="280" t="e">
        <f>H40+#REF!+H35+H21+#REF!</f>
        <v>#REF!</v>
      </c>
      <c r="I41" s="280" t="e">
        <f>I40+#REF!+I35+I21+#REF!</f>
        <v>#REF!</v>
      </c>
      <c r="J41" s="280" t="e">
        <f>SUM(#REF!+J21+J35+J40)</f>
        <v>#REF!</v>
      </c>
      <c r="K41" s="280">
        <f t="shared" ref="K41:O41" si="5">SUM(K38:K40)</f>
        <v>180000000</v>
      </c>
      <c r="L41" s="280">
        <f t="shared" si="5"/>
        <v>325000000</v>
      </c>
      <c r="M41" s="280">
        <f t="shared" si="5"/>
        <v>200000000</v>
      </c>
      <c r="N41" s="280">
        <f t="shared" si="5"/>
        <v>200000000</v>
      </c>
      <c r="O41" s="280">
        <f t="shared" si="5"/>
        <v>200000000</v>
      </c>
      <c r="P41" s="280">
        <f>SUM(P38:P40)</f>
        <v>50000000</v>
      </c>
      <c r="Q41" s="280">
        <f>SUM(Q38:Q40)</f>
        <v>200000000</v>
      </c>
      <c r="R41" s="851">
        <f>SUM(R38:R40)</f>
        <v>500000000</v>
      </c>
      <c r="S41" s="280">
        <f t="shared" si="0"/>
        <v>300000000</v>
      </c>
    </row>
    <row r="42" spans="1:19" ht="23.1" customHeight="1">
      <c r="A42" s="476">
        <v>270</v>
      </c>
      <c r="B42" s="280" t="s">
        <v>253</v>
      </c>
      <c r="C42" s="246"/>
      <c r="D42" s="246"/>
      <c r="E42" s="246"/>
      <c r="F42" s="246"/>
      <c r="G42" s="246"/>
      <c r="H42" s="246"/>
      <c r="I42" s="246"/>
      <c r="J42" s="246"/>
      <c r="K42" s="280"/>
      <c r="L42" s="280"/>
      <c r="M42" s="280"/>
      <c r="N42" s="280"/>
      <c r="O42" s="280"/>
      <c r="P42" s="280"/>
      <c r="Q42" s="280"/>
      <c r="R42" s="851"/>
      <c r="S42" s="246">
        <f t="shared" si="0"/>
        <v>0</v>
      </c>
    </row>
    <row r="43" spans="1:19" ht="23.1" customHeight="1">
      <c r="A43" s="476">
        <v>2710</v>
      </c>
      <c r="B43" s="280" t="s">
        <v>252</v>
      </c>
      <c r="C43" s="246"/>
      <c r="D43" s="246"/>
      <c r="E43" s="246"/>
      <c r="F43" s="246"/>
      <c r="G43" s="246"/>
      <c r="H43" s="246"/>
      <c r="I43" s="246"/>
      <c r="J43" s="246"/>
      <c r="K43" s="280"/>
      <c r="L43" s="280"/>
      <c r="M43" s="280"/>
      <c r="N43" s="280"/>
      <c r="O43" s="280"/>
      <c r="P43" s="280"/>
      <c r="Q43" s="280"/>
      <c r="R43" s="851"/>
      <c r="S43" s="246">
        <f t="shared" si="0"/>
        <v>0</v>
      </c>
    </row>
    <row r="44" spans="1:19" ht="23.1" customHeight="1">
      <c r="A44" s="392">
        <v>27601</v>
      </c>
      <c r="B44" s="246" t="s">
        <v>1247</v>
      </c>
      <c r="C44" s="246"/>
      <c r="D44" s="246"/>
      <c r="E44" s="246"/>
      <c r="F44" s="246"/>
      <c r="G44" s="246"/>
      <c r="H44" s="246"/>
      <c r="I44" s="246"/>
      <c r="J44" s="246"/>
      <c r="K44" s="280">
        <v>0</v>
      </c>
      <c r="L44" s="246">
        <f>50000000+50000000</f>
        <v>100000000</v>
      </c>
      <c r="M44" s="246">
        <v>100000000</v>
      </c>
      <c r="N44" s="246">
        <v>200000000</v>
      </c>
      <c r="O44" s="246">
        <v>50000000</v>
      </c>
      <c r="P44" s="246">
        <v>0</v>
      </c>
      <c r="Q44" s="246">
        <v>50000000</v>
      </c>
      <c r="R44" s="840">
        <v>200000000</v>
      </c>
      <c r="S44" s="246">
        <f t="shared" si="0"/>
        <v>150000000</v>
      </c>
    </row>
    <row r="45" spans="1:19" ht="23.1" customHeight="1">
      <c r="A45" s="392">
        <v>27402</v>
      </c>
      <c r="B45" s="246" t="s">
        <v>379</v>
      </c>
      <c r="C45" s="246"/>
      <c r="D45" s="246"/>
      <c r="E45" s="246"/>
      <c r="F45" s="246"/>
      <c r="G45" s="246"/>
      <c r="H45" s="246"/>
      <c r="I45" s="246"/>
      <c r="J45" s="246"/>
      <c r="K45" s="280">
        <v>0</v>
      </c>
      <c r="L45" s="246">
        <f>117000000</f>
        <v>117000000</v>
      </c>
      <c r="M45" s="246">
        <v>324000000</v>
      </c>
      <c r="N45" s="246">
        <v>216000000</v>
      </c>
      <c r="O45" s="246">
        <v>280000000</v>
      </c>
      <c r="P45" s="246">
        <v>0</v>
      </c>
      <c r="Q45" s="246">
        <v>300000000</v>
      </c>
      <c r="R45" s="840">
        <v>0</v>
      </c>
      <c r="S45" s="246">
        <f t="shared" si="0"/>
        <v>-300000000</v>
      </c>
    </row>
    <row r="46" spans="1:19" ht="23.1" customHeight="1">
      <c r="A46" s="392">
        <v>27502</v>
      </c>
      <c r="B46" s="246" t="s">
        <v>148</v>
      </c>
      <c r="C46" s="246"/>
      <c r="D46" s="246"/>
      <c r="E46" s="246"/>
      <c r="F46" s="246"/>
      <c r="G46" s="246"/>
      <c r="H46" s="246"/>
      <c r="I46" s="246"/>
      <c r="J46" s="246"/>
      <c r="K46" s="246">
        <v>20000000</v>
      </c>
      <c r="L46" s="246">
        <f>20000000</f>
        <v>20000000</v>
      </c>
      <c r="M46" s="246">
        <v>0</v>
      </c>
      <c r="N46" s="246">
        <v>50000000</v>
      </c>
      <c r="O46" s="246">
        <v>50000000</v>
      </c>
      <c r="P46" s="246">
        <v>0</v>
      </c>
      <c r="Q46" s="246">
        <v>25000000</v>
      </c>
      <c r="R46" s="840">
        <v>25000000</v>
      </c>
      <c r="S46" s="246">
        <f t="shared" si="0"/>
        <v>0</v>
      </c>
    </row>
    <row r="47" spans="1:19" ht="23.1" customHeight="1">
      <c r="A47" s="392">
        <v>27604</v>
      </c>
      <c r="B47" s="246" t="s">
        <v>149</v>
      </c>
      <c r="C47" s="246"/>
      <c r="D47" s="246"/>
      <c r="E47" s="246"/>
      <c r="F47" s="246"/>
      <c r="G47" s="246"/>
      <c r="H47" s="246"/>
      <c r="I47" s="246"/>
      <c r="J47" s="246"/>
      <c r="K47" s="246">
        <v>21000000</v>
      </c>
      <c r="L47" s="246">
        <f>21000000</f>
        <v>21000000</v>
      </c>
      <c r="M47" s="246">
        <f>L47</f>
        <v>21000000</v>
      </c>
      <c r="N47" s="246">
        <f>M47</f>
        <v>21000000</v>
      </c>
      <c r="O47" s="246">
        <f>N47</f>
        <v>21000000</v>
      </c>
      <c r="P47" s="246">
        <v>0</v>
      </c>
      <c r="Q47" s="246">
        <v>50000000</v>
      </c>
      <c r="R47" s="840">
        <v>50000000</v>
      </c>
      <c r="S47" s="246">
        <f t="shared" si="0"/>
        <v>0</v>
      </c>
    </row>
    <row r="48" spans="1:19" ht="23.1" customHeight="1">
      <c r="A48" s="392"/>
      <c r="B48" s="280" t="s">
        <v>92</v>
      </c>
      <c r="C48" s="246"/>
      <c r="D48" s="246"/>
      <c r="E48" s="246"/>
      <c r="F48" s="246"/>
      <c r="G48" s="246"/>
      <c r="H48" s="246"/>
      <c r="I48" s="246"/>
      <c r="J48" s="246"/>
      <c r="K48" s="280">
        <f>SUM(K46:K47)</f>
        <v>41000000</v>
      </c>
      <c r="L48" s="280">
        <f t="shared" ref="L48:O48" si="6">SUM(L44:L47)</f>
        <v>258000000</v>
      </c>
      <c r="M48" s="280">
        <f t="shared" si="6"/>
        <v>445000000</v>
      </c>
      <c r="N48" s="280">
        <f t="shared" si="6"/>
        <v>487000000</v>
      </c>
      <c r="O48" s="280">
        <f t="shared" si="6"/>
        <v>401000000</v>
      </c>
      <c r="P48" s="280">
        <f>SUM(P44:P47)</f>
        <v>0</v>
      </c>
      <c r="Q48" s="280">
        <f>SUM(Q44:Q47)</f>
        <v>425000000</v>
      </c>
      <c r="R48" s="851">
        <f>SUM(R44:R47)</f>
        <v>275000000</v>
      </c>
      <c r="S48" s="280">
        <f t="shared" si="0"/>
        <v>-150000000</v>
      </c>
    </row>
    <row r="49" spans="1:19" ht="23.1" customHeight="1">
      <c r="A49" s="476">
        <v>2720</v>
      </c>
      <c r="B49" s="280" t="s">
        <v>129</v>
      </c>
      <c r="C49" s="246"/>
      <c r="D49" s="246"/>
      <c r="E49" s="246"/>
      <c r="F49" s="246"/>
      <c r="G49" s="246"/>
      <c r="H49" s="246"/>
      <c r="I49" s="246"/>
      <c r="J49" s="246"/>
      <c r="K49" s="280"/>
      <c r="L49" s="280"/>
      <c r="M49" s="280"/>
      <c r="N49" s="280"/>
      <c r="O49" s="280"/>
      <c r="P49" s="280"/>
      <c r="Q49" s="280"/>
      <c r="R49" s="851"/>
      <c r="S49" s="246">
        <f t="shared" si="0"/>
        <v>0</v>
      </c>
    </row>
    <row r="50" spans="1:19" ht="23.1" customHeight="1">
      <c r="A50" s="392">
        <v>27202</v>
      </c>
      <c r="B50" s="246" t="s">
        <v>1248</v>
      </c>
      <c r="C50" s="246"/>
      <c r="D50" s="246"/>
      <c r="E50" s="246"/>
      <c r="F50" s="246"/>
      <c r="G50" s="246"/>
      <c r="H50" s="246"/>
      <c r="I50" s="246"/>
      <c r="J50" s="246"/>
      <c r="K50" s="246">
        <v>210000000</v>
      </c>
      <c r="L50" s="246">
        <f>100000000+300000000</f>
        <v>400000000</v>
      </c>
      <c r="M50" s="246">
        <v>100000000</v>
      </c>
      <c r="N50" s="246">
        <v>800000000</v>
      </c>
      <c r="O50" s="246">
        <v>400000000</v>
      </c>
      <c r="P50" s="246">
        <v>0</v>
      </c>
      <c r="Q50" s="246">
        <v>0</v>
      </c>
      <c r="R50" s="840">
        <v>700000000</v>
      </c>
      <c r="S50" s="246">
        <f t="shared" si="0"/>
        <v>700000000</v>
      </c>
    </row>
    <row r="51" spans="1:19" ht="23.1" customHeight="1">
      <c r="A51" s="487"/>
      <c r="B51" s="280" t="s">
        <v>92</v>
      </c>
      <c r="C51" s="246"/>
      <c r="D51" s="246"/>
      <c r="E51" s="246"/>
      <c r="F51" s="246"/>
      <c r="G51" s="246"/>
      <c r="H51" s="246"/>
      <c r="I51" s="246"/>
      <c r="J51" s="246"/>
      <c r="K51" s="280">
        <f t="shared" ref="K51:O51" si="7">SUM(K50)</f>
        <v>210000000</v>
      </c>
      <c r="L51" s="280">
        <f t="shared" si="7"/>
        <v>400000000</v>
      </c>
      <c r="M51" s="280">
        <f t="shared" si="7"/>
        <v>100000000</v>
      </c>
      <c r="N51" s="280">
        <f t="shared" si="7"/>
        <v>800000000</v>
      </c>
      <c r="O51" s="280">
        <f t="shared" si="7"/>
        <v>400000000</v>
      </c>
      <c r="P51" s="280">
        <f>SUM(P50)</f>
        <v>0</v>
      </c>
      <c r="Q51" s="280">
        <f t="shared" ref="Q51:R51" si="8">SUM(Q50)</f>
        <v>0</v>
      </c>
      <c r="R51" s="851">
        <f t="shared" si="8"/>
        <v>700000000</v>
      </c>
      <c r="S51" s="280">
        <f t="shared" si="0"/>
        <v>700000000</v>
      </c>
    </row>
    <row r="52" spans="1:19" ht="23.1" customHeight="1">
      <c r="A52" s="476">
        <v>2810</v>
      </c>
      <c r="B52" s="280" t="s">
        <v>1242</v>
      </c>
      <c r="C52" s="246"/>
      <c r="D52" s="246"/>
      <c r="E52" s="246"/>
      <c r="F52" s="246"/>
      <c r="G52" s="246"/>
      <c r="H52" s="246"/>
      <c r="I52" s="246"/>
      <c r="J52" s="246"/>
      <c r="K52" s="280"/>
      <c r="L52" s="280"/>
      <c r="M52" s="280"/>
      <c r="N52" s="280"/>
      <c r="O52" s="280"/>
      <c r="P52" s="280"/>
      <c r="Q52" s="280"/>
      <c r="R52" s="851"/>
      <c r="S52" s="246">
        <f t="shared" si="0"/>
        <v>0</v>
      </c>
    </row>
    <row r="53" spans="1:19" ht="23.1" customHeight="1">
      <c r="A53" s="392">
        <v>28102</v>
      </c>
      <c r="B53" s="246" t="s">
        <v>509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>
        <v>135000000</v>
      </c>
      <c r="N53" s="246">
        <v>160000000</v>
      </c>
      <c r="O53" s="246">
        <v>100000000</v>
      </c>
      <c r="P53" s="246">
        <v>0</v>
      </c>
      <c r="Q53" s="246">
        <v>450000000</v>
      </c>
      <c r="R53" s="840">
        <v>200000000</v>
      </c>
      <c r="S53" s="246">
        <f t="shared" si="0"/>
        <v>-250000000</v>
      </c>
    </row>
    <row r="54" spans="1:19" s="492" customFormat="1" ht="23.1" customHeight="1">
      <c r="A54" s="476"/>
      <c r="B54" s="280" t="s">
        <v>92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767">
        <f>SUM(P53)</f>
        <v>0</v>
      </c>
      <c r="Q54" s="280">
        <f>SUM(Q53)</f>
        <v>450000000</v>
      </c>
      <c r="R54" s="851">
        <f>SUM(R53)</f>
        <v>200000000</v>
      </c>
      <c r="S54" s="280">
        <f t="shared" si="0"/>
        <v>-250000000</v>
      </c>
    </row>
    <row r="55" spans="1:19" ht="23.1" customHeight="1">
      <c r="A55" s="487"/>
      <c r="B55" s="280" t="s">
        <v>37</v>
      </c>
      <c r="C55" s="246"/>
      <c r="D55" s="246"/>
      <c r="E55" s="246"/>
      <c r="F55" s="246"/>
      <c r="G55" s="246"/>
      <c r="H55" s="246"/>
      <c r="I55" s="246"/>
      <c r="J55" s="246"/>
      <c r="K55" s="280">
        <f>K51+K48+K41+K36+K30+K12</f>
        <v>6350217600</v>
      </c>
      <c r="L55" s="280">
        <f>L51+L48+L41+L36+L30+L12</f>
        <v>14149890400</v>
      </c>
      <c r="M55" s="280">
        <f ca="1">M51+M48+M41+M36+M30+M12</f>
        <v>13336485600</v>
      </c>
      <c r="N55" s="280">
        <f ca="1">N51+N48+N41+N36+N30+N12</f>
        <v>15639542400</v>
      </c>
      <c r="O55" s="280">
        <f ca="1">O51+O48+O41+O36+O30+O12</f>
        <v>17877222240</v>
      </c>
      <c r="P55" s="768">
        <f>P54+P51+P48+P41+P36+P30+P12</f>
        <v>18514219520</v>
      </c>
      <c r="Q55" s="280">
        <f>Q51+Q48+Q41+Q36+Q30+Q12+Q54</f>
        <v>24317560160</v>
      </c>
      <c r="R55" s="851">
        <f>R51+R48+R41+R36+R30+R12+R54</f>
        <v>27559704096</v>
      </c>
      <c r="S55" s="280">
        <f t="shared" si="0"/>
        <v>3242143936</v>
      </c>
    </row>
    <row r="56" spans="1:19" ht="23.1" customHeight="1">
      <c r="A56" s="499"/>
      <c r="B56" s="500"/>
      <c r="C56" s="500"/>
      <c r="D56" s="500"/>
      <c r="E56" s="500"/>
      <c r="F56" s="500"/>
      <c r="G56" s="500"/>
      <c r="H56" s="500"/>
      <c r="I56" s="500"/>
      <c r="J56" s="500"/>
      <c r="K56" s="501"/>
      <c r="L56" s="501"/>
      <c r="M56" s="501"/>
      <c r="N56" s="501"/>
    </row>
    <row r="57" spans="1:19" ht="23.1" customHeight="1">
      <c r="A57" s="499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</row>
    <row r="58" spans="1:19" ht="23.1" customHeight="1">
      <c r="A58" s="499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</row>
    <row r="59" spans="1:19" ht="23.1" customHeight="1">
      <c r="A59" s="49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</row>
    <row r="60" spans="1:19" ht="23.1" customHeight="1">
      <c r="A60" s="499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</row>
    <row r="61" spans="1:19" ht="23.1" customHeight="1">
      <c r="A61" s="49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</row>
    <row r="62" spans="1:19" ht="23.1" customHeight="1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</row>
    <row r="63" spans="1:19" ht="23.1" customHeigh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</row>
    <row r="64" spans="1:19" ht="23.1" customHeight="1">
      <c r="A64" s="499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</row>
    <row r="65" spans="1:14" ht="23.1" customHeight="1">
      <c r="A65" s="499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</row>
    <row r="66" spans="1:14" ht="23.1" customHeight="1">
      <c r="A66" s="499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</row>
    <row r="67" spans="1:14" ht="23.1" customHeight="1">
      <c r="A67" s="499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</row>
    <row r="68" spans="1:14" ht="23.1" customHeight="1">
      <c r="A68" s="499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</row>
    <row r="69" spans="1:14" ht="23.1" customHeight="1">
      <c r="A69" s="499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</row>
    <row r="70" spans="1:14" ht="23.1" customHeight="1">
      <c r="A70" s="499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</row>
    <row r="71" spans="1:14" ht="23.1" customHeight="1">
      <c r="A71" s="499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</row>
    <row r="72" spans="1:14" ht="23.1" customHeight="1">
      <c r="A72" s="499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</row>
    <row r="73" spans="1:14" ht="23.1" customHeight="1">
      <c r="A73" s="499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</row>
    <row r="74" spans="1:14" ht="23.1" customHeight="1">
      <c r="A74" s="499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</row>
    <row r="75" spans="1:14" ht="23.1" customHeight="1">
      <c r="A75" s="499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</row>
    <row r="76" spans="1:14" ht="23.1" customHeight="1">
      <c r="A76" s="499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</row>
    <row r="77" spans="1:14" ht="23.1" customHeight="1">
      <c r="A77" s="499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</row>
    <row r="78" spans="1:14" ht="23.1" customHeight="1">
      <c r="A78" s="499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</row>
    <row r="79" spans="1:14" ht="23.1" customHeight="1">
      <c r="A79" s="499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</row>
    <row r="80" spans="1:14" ht="23.1" customHeight="1">
      <c r="A80" s="499"/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</row>
    <row r="81" spans="1:14" ht="23.1" customHeight="1">
      <c r="A81" s="499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</row>
    <row r="82" spans="1:14" ht="23.1" customHeight="1">
      <c r="A82" s="499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</row>
    <row r="83" spans="1:14" ht="23.1" customHeight="1">
      <c r="A83" s="499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</row>
    <row r="84" spans="1:14" ht="23.1" customHeight="1">
      <c r="A84" s="499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</row>
    <row r="85" spans="1:14" ht="23.1" customHeight="1">
      <c r="A85" s="499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</row>
    <row r="86" spans="1:14" ht="23.1" customHeight="1">
      <c r="A86" s="499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</row>
    <row r="87" spans="1:14" ht="23.1" customHeight="1">
      <c r="A87" s="499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</row>
    <row r="88" spans="1:14" ht="23.1" customHeight="1">
      <c r="A88" s="499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</row>
    <row r="89" spans="1:14" ht="23.1" customHeight="1">
      <c r="A89" s="499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</row>
    <row r="90" spans="1:14" ht="23.1" customHeight="1">
      <c r="A90" s="499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</row>
    <row r="91" spans="1:14" ht="23.1" customHeight="1">
      <c r="A91" s="499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</row>
    <row r="92" spans="1:14" ht="23.1" customHeight="1">
      <c r="A92" s="499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</row>
    <row r="93" spans="1:14" ht="23.1" customHeight="1">
      <c r="A93" s="499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</row>
    <row r="94" spans="1:14" ht="23.1" customHeight="1">
      <c r="A94" s="499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</row>
    <row r="95" spans="1:14" ht="23.1" customHeight="1">
      <c r="A95" s="499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</row>
    <row r="96" spans="1:14" ht="23.1" customHeight="1">
      <c r="A96" s="499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</row>
    <row r="97" spans="1:14" ht="23.1" customHeight="1">
      <c r="A97" s="499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</row>
    <row r="98" spans="1:14" ht="23.1" customHeight="1">
      <c r="A98" s="499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99" spans="1:14" ht="23.1" customHeight="1">
      <c r="A99" s="499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</row>
    <row r="100" spans="1:14" ht="23.1" customHeight="1">
      <c r="A100" s="499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</row>
    <row r="101" spans="1:14" ht="23.1" customHeight="1">
      <c r="A101" s="499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</row>
    <row r="102" spans="1:14" ht="23.1" customHeight="1">
      <c r="A102" s="499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</row>
    <row r="103" spans="1:14" ht="23.1" customHeight="1">
      <c r="A103" s="499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</row>
    <row r="104" spans="1:14" ht="23.1" customHeight="1">
      <c r="A104" s="499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</row>
    <row r="105" spans="1:14" ht="23.1" customHeight="1">
      <c r="A105" s="499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</row>
    <row r="106" spans="1:14" ht="23.1" customHeight="1">
      <c r="A106" s="499"/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</row>
    <row r="107" spans="1:14" ht="23.1" customHeight="1">
      <c r="A107" s="499"/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</row>
    <row r="108" spans="1:14" ht="23.1" customHeight="1">
      <c r="A108" s="499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</row>
    <row r="109" spans="1:14" ht="23.1" customHeight="1">
      <c r="A109" s="499"/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</row>
    <row r="110" spans="1:14" ht="23.1" customHeight="1">
      <c r="A110" s="499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</row>
    <row r="111" spans="1:14" ht="23.1" customHeight="1">
      <c r="A111" s="499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</row>
    <row r="112" spans="1:14" ht="23.1" customHeight="1">
      <c r="A112" s="499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</row>
    <row r="113" spans="1:14" ht="23.1" customHeight="1">
      <c r="A113" s="499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</row>
    <row r="114" spans="1:14" ht="23.1" customHeight="1">
      <c r="A114" s="499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</row>
    <row r="115" spans="1:14" ht="23.1" customHeight="1">
      <c r="A115" s="499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</row>
    <row r="116" spans="1:14" ht="23.1" customHeight="1">
      <c r="A116" s="499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</row>
    <row r="117" spans="1:14" ht="23.1" customHeight="1">
      <c r="A117" s="499"/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</row>
    <row r="118" spans="1:14" ht="23.1" customHeight="1">
      <c r="A118" s="499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</row>
    <row r="119" spans="1:14" ht="23.1" customHeight="1">
      <c r="A119" s="499"/>
      <c r="B119" s="500"/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</row>
    <row r="120" spans="1:14" ht="23.1" customHeight="1">
      <c r="A120" s="499"/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</row>
    <row r="121" spans="1:14" ht="23.1" customHeight="1">
      <c r="A121" s="499"/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</row>
    <row r="122" spans="1:14" ht="23.1" customHeight="1">
      <c r="A122" s="499"/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</row>
    <row r="123" spans="1:14" ht="23.1" customHeight="1">
      <c r="A123" s="499"/>
      <c r="B123" s="500"/>
      <c r="C123" s="500"/>
      <c r="D123" s="500"/>
      <c r="E123" s="500"/>
      <c r="F123" s="500"/>
      <c r="G123" s="500"/>
      <c r="H123" s="500"/>
      <c r="I123" s="500"/>
      <c r="J123" s="500"/>
      <c r="K123" s="500"/>
      <c r="L123" s="500"/>
      <c r="M123" s="500"/>
      <c r="N123" s="500"/>
    </row>
    <row r="124" spans="1:14" ht="23.1" customHeight="1">
      <c r="A124" s="499"/>
      <c r="B124" s="500"/>
      <c r="C124" s="500"/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</row>
    <row r="125" spans="1:14" ht="23.1" customHeight="1">
      <c r="A125" s="499"/>
      <c r="B125" s="500"/>
      <c r="C125" s="500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</row>
    <row r="126" spans="1:14" ht="23.1" customHeight="1">
      <c r="A126" s="499"/>
      <c r="B126" s="500"/>
      <c r="C126" s="500"/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</row>
    <row r="127" spans="1:14" ht="23.1" customHeight="1">
      <c r="A127" s="499"/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</row>
    <row r="128" spans="1:14" ht="23.1" customHeight="1">
      <c r="A128" s="499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</row>
    <row r="129" spans="1:14" ht="23.1" customHeight="1">
      <c r="A129" s="499"/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</row>
    <row r="130" spans="1:14" ht="23.1" customHeight="1">
      <c r="A130" s="499"/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</row>
    <row r="131" spans="1:14" ht="23.1" customHeight="1">
      <c r="A131" s="499"/>
      <c r="B131" s="500"/>
      <c r="C131" s="500"/>
      <c r="D131" s="500"/>
      <c r="E131" s="500"/>
      <c r="F131" s="500"/>
      <c r="G131" s="500"/>
      <c r="H131" s="500"/>
      <c r="I131" s="500"/>
      <c r="J131" s="500"/>
      <c r="K131" s="500"/>
      <c r="L131" s="500"/>
      <c r="M131" s="500"/>
      <c r="N131" s="500"/>
    </row>
    <row r="132" spans="1:14" ht="23.1" customHeight="1">
      <c r="A132" s="499"/>
      <c r="B132" s="500"/>
      <c r="C132" s="500"/>
      <c r="D132" s="500"/>
      <c r="E132" s="500"/>
      <c r="F132" s="500"/>
      <c r="G132" s="500"/>
      <c r="H132" s="500"/>
      <c r="I132" s="500"/>
      <c r="J132" s="500"/>
      <c r="K132" s="500"/>
      <c r="L132" s="500"/>
      <c r="M132" s="500"/>
      <c r="N132" s="500"/>
    </row>
    <row r="133" spans="1:14" ht="23.1" customHeight="1">
      <c r="A133" s="499"/>
      <c r="B133" s="500"/>
      <c r="C133" s="500"/>
      <c r="D133" s="500"/>
      <c r="E133" s="500"/>
      <c r="F133" s="500"/>
      <c r="G133" s="500"/>
      <c r="H133" s="500"/>
      <c r="I133" s="500"/>
      <c r="J133" s="500"/>
      <c r="K133" s="500"/>
      <c r="L133" s="500"/>
      <c r="M133" s="500"/>
      <c r="N133" s="500"/>
    </row>
    <row r="134" spans="1:14" ht="23.1" customHeight="1">
      <c r="A134" s="499"/>
      <c r="B134" s="500"/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</row>
    <row r="135" spans="1:14" ht="23.1" customHeight="1">
      <c r="A135" s="499"/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N135" s="500"/>
    </row>
    <row r="136" spans="1:14" ht="23.1" customHeight="1">
      <c r="A136" s="499"/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N136" s="500"/>
    </row>
    <row r="137" spans="1:14" ht="23.1" customHeight="1">
      <c r="A137" s="499"/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  <c r="L137" s="500"/>
      <c r="M137" s="500"/>
      <c r="N137" s="500"/>
    </row>
    <row r="138" spans="1:14" ht="23.1" customHeight="1">
      <c r="A138" s="499"/>
      <c r="B138" s="500"/>
      <c r="C138" s="500"/>
      <c r="D138" s="500"/>
      <c r="E138" s="500"/>
      <c r="F138" s="500"/>
      <c r="G138" s="500"/>
      <c r="H138" s="500"/>
      <c r="I138" s="500"/>
      <c r="J138" s="500"/>
      <c r="K138" s="500"/>
      <c r="L138" s="500"/>
      <c r="M138" s="500"/>
      <c r="N138" s="500"/>
    </row>
    <row r="139" spans="1:14" ht="23.1" customHeight="1">
      <c r="A139" s="499"/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  <c r="L139" s="500"/>
      <c r="M139" s="500"/>
      <c r="N139" s="500"/>
    </row>
    <row r="140" spans="1:14" ht="23.1" customHeight="1">
      <c r="A140" s="499"/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  <c r="L140" s="500"/>
      <c r="M140" s="500"/>
      <c r="N140" s="500"/>
    </row>
    <row r="141" spans="1:14" ht="23.1" customHeight="1">
      <c r="A141" s="499"/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  <c r="L141" s="500"/>
      <c r="M141" s="500"/>
      <c r="N141" s="500"/>
    </row>
    <row r="142" spans="1:14" ht="23.1" customHeight="1">
      <c r="A142" s="499"/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</row>
    <row r="143" spans="1:14" ht="23.1" customHeight="1">
      <c r="A143" s="499"/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  <c r="L143" s="500"/>
      <c r="M143" s="500"/>
      <c r="N143" s="500"/>
    </row>
    <row r="144" spans="1:14" ht="23.1" customHeight="1">
      <c r="A144" s="499"/>
      <c r="B144" s="500"/>
      <c r="C144" s="500"/>
      <c r="D144" s="500"/>
      <c r="E144" s="500"/>
      <c r="F144" s="500"/>
      <c r="G144" s="500"/>
      <c r="H144" s="500"/>
      <c r="I144" s="500"/>
      <c r="J144" s="500"/>
      <c r="K144" s="500"/>
      <c r="L144" s="500"/>
      <c r="M144" s="500"/>
      <c r="N144" s="500"/>
    </row>
    <row r="145" spans="1:14" ht="23.1" customHeight="1">
      <c r="A145" s="499"/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N145" s="500"/>
    </row>
    <row r="146" spans="1:14" ht="23.1" customHeight="1">
      <c r="A146" s="499"/>
      <c r="B146" s="500"/>
      <c r="C146" s="500"/>
      <c r="D146" s="500"/>
      <c r="E146" s="500"/>
      <c r="F146" s="500"/>
      <c r="G146" s="500"/>
      <c r="H146" s="500"/>
      <c r="I146" s="500"/>
      <c r="J146" s="500"/>
      <c r="K146" s="500"/>
      <c r="L146" s="500"/>
      <c r="M146" s="500"/>
      <c r="N146" s="500"/>
    </row>
    <row r="147" spans="1:14" ht="23.1" customHeight="1">
      <c r="A147" s="499"/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  <c r="M147" s="500"/>
      <c r="N147" s="500"/>
    </row>
    <row r="148" spans="1:14" ht="23.1" customHeight="1">
      <c r="A148" s="499"/>
      <c r="B148" s="500"/>
      <c r="C148" s="500"/>
      <c r="D148" s="500"/>
      <c r="E148" s="500"/>
      <c r="F148" s="500"/>
      <c r="G148" s="500"/>
      <c r="H148" s="500"/>
      <c r="I148" s="500"/>
      <c r="J148" s="500"/>
      <c r="K148" s="500"/>
      <c r="L148" s="500"/>
      <c r="M148" s="500"/>
      <c r="N148" s="500"/>
    </row>
    <row r="149" spans="1:14" ht="23.1" customHeight="1">
      <c r="A149" s="499"/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M149" s="500"/>
      <c r="N149" s="500"/>
    </row>
    <row r="150" spans="1:14" ht="23.1" customHeight="1">
      <c r="A150" s="499"/>
      <c r="B150" s="500"/>
      <c r="C150" s="500"/>
      <c r="D150" s="500"/>
      <c r="E150" s="500"/>
      <c r="F150" s="500"/>
      <c r="G150" s="500"/>
      <c r="H150" s="500"/>
      <c r="I150" s="500"/>
      <c r="J150" s="500"/>
      <c r="K150" s="500"/>
      <c r="L150" s="500"/>
      <c r="M150" s="500"/>
      <c r="N150" s="500"/>
    </row>
    <row r="151" spans="1:14" ht="23.1" customHeight="1">
      <c r="A151" s="499"/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  <c r="L151" s="500"/>
      <c r="M151" s="500"/>
      <c r="N151" s="500"/>
    </row>
    <row r="152" spans="1:14" ht="23.1" customHeight="1">
      <c r="A152" s="499"/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0"/>
      <c r="M152" s="500"/>
      <c r="N152" s="500"/>
    </row>
    <row r="153" spans="1:14" ht="23.1" customHeight="1">
      <c r="A153" s="499"/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  <c r="L153" s="500"/>
      <c r="M153" s="500"/>
      <c r="N153" s="500"/>
    </row>
    <row r="154" spans="1:14" ht="23.1" customHeight="1">
      <c r="A154" s="499"/>
      <c r="B154" s="500"/>
      <c r="C154" s="500"/>
      <c r="D154" s="500"/>
      <c r="E154" s="500"/>
      <c r="F154" s="500"/>
      <c r="G154" s="500"/>
      <c r="H154" s="500"/>
      <c r="I154" s="500"/>
      <c r="J154" s="500"/>
      <c r="K154" s="500"/>
      <c r="L154" s="500"/>
      <c r="M154" s="500"/>
      <c r="N154" s="500"/>
    </row>
    <row r="155" spans="1:14" ht="23.1" customHeight="1">
      <c r="A155" s="499"/>
      <c r="B155" s="500"/>
      <c r="C155" s="500"/>
      <c r="D155" s="500"/>
      <c r="E155" s="500"/>
      <c r="F155" s="500"/>
      <c r="G155" s="500"/>
      <c r="H155" s="500"/>
      <c r="I155" s="500"/>
      <c r="J155" s="500"/>
      <c r="K155" s="500"/>
      <c r="L155" s="500"/>
      <c r="M155" s="500"/>
      <c r="N155" s="500"/>
    </row>
    <row r="156" spans="1:14" ht="23.1" customHeight="1">
      <c r="A156" s="499"/>
      <c r="B156" s="500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</row>
    <row r="157" spans="1:14" ht="23.1" customHeight="1">
      <c r="A157" s="499"/>
      <c r="B157" s="500"/>
      <c r="C157" s="500"/>
      <c r="D157" s="500"/>
      <c r="E157" s="500"/>
      <c r="F157" s="500"/>
      <c r="G157" s="500"/>
      <c r="H157" s="500"/>
      <c r="I157" s="500"/>
      <c r="J157" s="500"/>
      <c r="K157" s="500"/>
      <c r="L157" s="500"/>
      <c r="M157" s="500"/>
      <c r="N157" s="500"/>
    </row>
    <row r="158" spans="1:14" ht="23.1" customHeight="1">
      <c r="A158" s="499"/>
      <c r="B158" s="500"/>
      <c r="C158" s="500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N158" s="500"/>
    </row>
    <row r="159" spans="1:14" ht="23.1" customHeight="1">
      <c r="A159" s="499"/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N159" s="500"/>
    </row>
    <row r="160" spans="1:14" ht="23.1" customHeight="1">
      <c r="A160" s="499"/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</row>
    <row r="161" spans="1:14" ht="23.1" customHeight="1">
      <c r="A161" s="499"/>
      <c r="B161" s="500"/>
      <c r="C161" s="500"/>
      <c r="D161" s="500"/>
      <c r="E161" s="500"/>
      <c r="F161" s="500"/>
      <c r="G161" s="500"/>
      <c r="H161" s="500"/>
      <c r="I161" s="500"/>
      <c r="J161" s="500"/>
      <c r="K161" s="500"/>
      <c r="L161" s="500"/>
      <c r="M161" s="500"/>
      <c r="N161" s="500"/>
    </row>
    <row r="162" spans="1:14" ht="23.1" customHeight="1">
      <c r="A162" s="499"/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  <c r="L162" s="500"/>
      <c r="M162" s="500"/>
      <c r="N162" s="500"/>
    </row>
    <row r="163" spans="1:14" ht="23.1" customHeight="1">
      <c r="A163" s="499"/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  <c r="L163" s="500"/>
      <c r="M163" s="500"/>
      <c r="N163" s="500"/>
    </row>
    <row r="164" spans="1:14" ht="23.1" customHeight="1">
      <c r="A164" s="499"/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  <c r="L164" s="500"/>
      <c r="M164" s="500"/>
      <c r="N164" s="500"/>
    </row>
    <row r="165" spans="1:14" ht="23.1" customHeight="1">
      <c r="A165" s="499"/>
      <c r="B165" s="500"/>
      <c r="C165" s="500"/>
      <c r="D165" s="500"/>
      <c r="E165" s="500"/>
      <c r="F165" s="500"/>
      <c r="G165" s="500"/>
      <c r="H165" s="500"/>
      <c r="I165" s="500"/>
      <c r="J165" s="500"/>
      <c r="K165" s="500"/>
      <c r="L165" s="500"/>
      <c r="M165" s="500"/>
      <c r="N165" s="500"/>
    </row>
    <row r="166" spans="1:14" ht="23.1" customHeight="1">
      <c r="A166" s="499"/>
      <c r="B166" s="500"/>
      <c r="C166" s="500"/>
      <c r="D166" s="500"/>
      <c r="E166" s="500"/>
      <c r="F166" s="500"/>
      <c r="G166" s="500"/>
      <c r="H166" s="500"/>
      <c r="I166" s="500"/>
      <c r="J166" s="500"/>
      <c r="K166" s="500"/>
      <c r="L166" s="500"/>
      <c r="M166" s="500"/>
      <c r="N166" s="500"/>
    </row>
    <row r="167" spans="1:14" ht="23.1" customHeight="1">
      <c r="A167" s="499"/>
      <c r="B167" s="500"/>
      <c r="C167" s="500"/>
      <c r="D167" s="500"/>
      <c r="E167" s="500"/>
      <c r="F167" s="500"/>
      <c r="G167" s="500"/>
      <c r="H167" s="500"/>
      <c r="I167" s="500"/>
      <c r="J167" s="500"/>
      <c r="K167" s="500"/>
      <c r="L167" s="500"/>
      <c r="M167" s="500"/>
      <c r="N167" s="500"/>
    </row>
    <row r="168" spans="1:14" ht="23.1" customHeight="1">
      <c r="A168" s="499"/>
      <c r="B168" s="500"/>
      <c r="C168" s="500"/>
      <c r="D168" s="500"/>
      <c r="E168" s="500"/>
      <c r="F168" s="500"/>
      <c r="G168" s="500"/>
      <c r="H168" s="500"/>
      <c r="I168" s="500"/>
      <c r="J168" s="500"/>
      <c r="K168" s="500"/>
      <c r="L168" s="500"/>
      <c r="M168" s="500"/>
      <c r="N168" s="500"/>
    </row>
    <row r="169" spans="1:14" ht="23.1" customHeight="1">
      <c r="A169" s="499"/>
      <c r="B169" s="500"/>
      <c r="C169" s="500"/>
      <c r="D169" s="500"/>
      <c r="E169" s="500"/>
      <c r="F169" s="500"/>
      <c r="G169" s="500"/>
      <c r="H169" s="500"/>
      <c r="I169" s="500"/>
      <c r="J169" s="500"/>
      <c r="K169" s="500"/>
      <c r="L169" s="500"/>
      <c r="M169" s="500"/>
      <c r="N169" s="500"/>
    </row>
    <row r="170" spans="1:14" ht="23.1" customHeight="1">
      <c r="A170" s="499"/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</row>
    <row r="171" spans="1:14" ht="23.1" customHeight="1">
      <c r="A171" s="499"/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</row>
    <row r="172" spans="1:14" ht="23.1" customHeight="1">
      <c r="A172" s="499"/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</row>
    <row r="173" spans="1:14" ht="23.1" customHeight="1">
      <c r="A173" s="499"/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</row>
    <row r="174" spans="1:14" ht="23.1" customHeight="1">
      <c r="A174" s="499"/>
      <c r="B174" s="500"/>
      <c r="C174" s="500"/>
      <c r="D174" s="500"/>
      <c r="E174" s="500"/>
      <c r="F174" s="500"/>
      <c r="G174" s="500"/>
      <c r="H174" s="500"/>
      <c r="I174" s="500"/>
      <c r="J174" s="500"/>
      <c r="K174" s="500"/>
      <c r="L174" s="500"/>
      <c r="M174" s="500"/>
      <c r="N174" s="500"/>
    </row>
    <row r="175" spans="1:14" ht="23.1" customHeight="1">
      <c r="A175" s="499"/>
      <c r="B175" s="500"/>
      <c r="C175" s="500"/>
      <c r="D175" s="500"/>
      <c r="E175" s="500"/>
      <c r="F175" s="500"/>
      <c r="G175" s="500"/>
      <c r="H175" s="500"/>
      <c r="I175" s="500"/>
      <c r="J175" s="500"/>
      <c r="K175" s="500"/>
      <c r="L175" s="500"/>
      <c r="M175" s="500"/>
      <c r="N175" s="500"/>
    </row>
    <row r="176" spans="1:14" ht="23.1" customHeight="1">
      <c r="A176" s="499"/>
      <c r="B176" s="500"/>
      <c r="C176" s="500"/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</row>
    <row r="177" spans="1:14" ht="23.1" customHeight="1">
      <c r="A177" s="499"/>
      <c r="B177" s="500"/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  <c r="M177" s="500"/>
      <c r="N177" s="500"/>
    </row>
    <row r="178" spans="1:14" ht="23.1" customHeight="1">
      <c r="A178" s="499"/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</row>
    <row r="179" spans="1:14" ht="23.1" customHeight="1">
      <c r="A179" s="499"/>
      <c r="B179" s="500"/>
      <c r="C179" s="500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</row>
    <row r="180" spans="1:14" ht="23.1" customHeight="1">
      <c r="A180" s="499"/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</row>
    <row r="181" spans="1:14" ht="23.1" customHeight="1">
      <c r="A181" s="499"/>
      <c r="B181" s="500"/>
      <c r="C181" s="500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</row>
    <row r="182" spans="1:14" ht="23.1" customHeight="1">
      <c r="A182" s="499"/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  <c r="L182" s="500"/>
      <c r="M182" s="500"/>
      <c r="N182" s="500"/>
    </row>
    <row r="183" spans="1:14" ht="23.1" customHeight="1">
      <c r="A183" s="499"/>
      <c r="B183" s="500"/>
      <c r="C183" s="500"/>
      <c r="D183" s="500"/>
      <c r="E183" s="500"/>
      <c r="F183" s="500"/>
      <c r="G183" s="500"/>
      <c r="H183" s="500"/>
      <c r="I183" s="500"/>
      <c r="J183" s="500"/>
      <c r="K183" s="500"/>
      <c r="L183" s="500"/>
      <c r="M183" s="500"/>
      <c r="N183" s="500"/>
    </row>
    <row r="184" spans="1:14" ht="23.1" customHeight="1">
      <c r="A184" s="499"/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  <c r="L184" s="500"/>
      <c r="M184" s="500"/>
      <c r="N184" s="500"/>
    </row>
    <row r="185" spans="1:14" ht="23.1" customHeight="1">
      <c r="A185" s="499"/>
      <c r="B185" s="500"/>
      <c r="C185" s="500"/>
      <c r="D185" s="500"/>
      <c r="E185" s="500"/>
      <c r="F185" s="500"/>
      <c r="G185" s="500"/>
      <c r="H185" s="500"/>
      <c r="I185" s="500"/>
      <c r="J185" s="500"/>
      <c r="K185" s="500"/>
      <c r="L185" s="500"/>
      <c r="M185" s="500"/>
      <c r="N185" s="500"/>
    </row>
    <row r="186" spans="1:14" ht="23.1" customHeight="1">
      <c r="A186" s="499"/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  <c r="L186" s="500"/>
      <c r="M186" s="500"/>
      <c r="N186" s="500"/>
    </row>
    <row r="187" spans="1:14" ht="23.1" customHeight="1">
      <c r="A187" s="499"/>
      <c r="B187" s="500"/>
      <c r="C187" s="500"/>
      <c r="D187" s="500"/>
      <c r="E187" s="500"/>
      <c r="F187" s="500"/>
      <c r="G187" s="500"/>
      <c r="H187" s="500"/>
      <c r="I187" s="500"/>
      <c r="J187" s="500"/>
      <c r="K187" s="500"/>
      <c r="L187" s="500"/>
      <c r="M187" s="500"/>
      <c r="N187" s="500"/>
    </row>
    <row r="188" spans="1:14" ht="23.1" customHeight="1">
      <c r="A188" s="499"/>
      <c r="B188" s="500"/>
      <c r="C188" s="500"/>
      <c r="D188" s="500"/>
      <c r="E188" s="500"/>
      <c r="F188" s="500"/>
      <c r="G188" s="500"/>
      <c r="H188" s="500"/>
      <c r="I188" s="500"/>
      <c r="J188" s="500"/>
      <c r="K188" s="500"/>
      <c r="L188" s="500"/>
      <c r="M188" s="500"/>
      <c r="N188" s="500"/>
    </row>
    <row r="189" spans="1:14" ht="23.1" customHeight="1">
      <c r="A189" s="499"/>
      <c r="B189" s="500"/>
      <c r="C189" s="500"/>
      <c r="D189" s="500"/>
      <c r="E189" s="500"/>
      <c r="F189" s="500"/>
      <c r="G189" s="500"/>
      <c r="H189" s="500"/>
      <c r="I189" s="500"/>
      <c r="J189" s="500"/>
      <c r="K189" s="500"/>
      <c r="L189" s="500"/>
      <c r="M189" s="500"/>
      <c r="N189" s="500"/>
    </row>
    <row r="190" spans="1:14" ht="23.1" customHeight="1">
      <c r="A190" s="499"/>
      <c r="B190" s="500"/>
      <c r="C190" s="500"/>
      <c r="D190" s="500"/>
      <c r="E190" s="500"/>
      <c r="F190" s="500"/>
      <c r="G190" s="500"/>
      <c r="H190" s="500"/>
      <c r="I190" s="500"/>
      <c r="J190" s="500"/>
      <c r="K190" s="500"/>
      <c r="L190" s="500"/>
      <c r="M190" s="500"/>
      <c r="N190" s="500"/>
    </row>
    <row r="191" spans="1:14" ht="23.1" customHeight="1">
      <c r="A191" s="499"/>
      <c r="B191" s="500"/>
      <c r="C191" s="500"/>
      <c r="D191" s="500"/>
      <c r="E191" s="500"/>
      <c r="F191" s="500"/>
      <c r="G191" s="500"/>
      <c r="H191" s="500"/>
      <c r="I191" s="500"/>
      <c r="J191" s="500"/>
      <c r="K191" s="500"/>
      <c r="L191" s="500"/>
      <c r="M191" s="500"/>
      <c r="N191" s="500"/>
    </row>
    <row r="192" spans="1:14" ht="23.1" customHeight="1">
      <c r="A192" s="499"/>
      <c r="B192" s="500"/>
      <c r="C192" s="500"/>
      <c r="D192" s="500"/>
      <c r="E192" s="500"/>
      <c r="F192" s="500"/>
      <c r="G192" s="500"/>
      <c r="H192" s="500"/>
      <c r="I192" s="500"/>
      <c r="J192" s="500"/>
      <c r="K192" s="500"/>
      <c r="L192" s="500"/>
      <c r="M192" s="500"/>
      <c r="N192" s="500"/>
    </row>
    <row r="193" spans="1:14" ht="23.1" customHeight="1">
      <c r="A193" s="499"/>
      <c r="B193" s="500"/>
      <c r="C193" s="500"/>
      <c r="D193" s="500"/>
      <c r="E193" s="500"/>
      <c r="F193" s="500"/>
      <c r="G193" s="500"/>
      <c r="H193" s="500"/>
      <c r="I193" s="500"/>
      <c r="J193" s="500"/>
      <c r="K193" s="500"/>
      <c r="L193" s="500"/>
      <c r="M193" s="500"/>
      <c r="N193" s="500"/>
    </row>
    <row r="194" spans="1:14" ht="23.1" customHeight="1">
      <c r="A194" s="499"/>
      <c r="B194" s="500"/>
      <c r="C194" s="500"/>
      <c r="D194" s="500"/>
      <c r="E194" s="500"/>
      <c r="F194" s="500"/>
      <c r="G194" s="500"/>
      <c r="H194" s="500"/>
      <c r="I194" s="500"/>
      <c r="J194" s="500"/>
      <c r="K194" s="500"/>
      <c r="L194" s="500"/>
      <c r="M194" s="500"/>
      <c r="N194" s="500"/>
    </row>
    <row r="195" spans="1:14" ht="23.1" customHeight="1">
      <c r="A195" s="499"/>
      <c r="B195" s="500"/>
      <c r="C195" s="500"/>
      <c r="D195" s="500"/>
      <c r="E195" s="500"/>
      <c r="F195" s="500"/>
      <c r="G195" s="500"/>
      <c r="H195" s="500"/>
      <c r="I195" s="500"/>
      <c r="J195" s="500"/>
      <c r="K195" s="500"/>
      <c r="L195" s="500"/>
      <c r="M195" s="500"/>
      <c r="N195" s="500"/>
    </row>
    <row r="196" spans="1:14" ht="23.1" customHeight="1">
      <c r="A196" s="499"/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</row>
    <row r="197" spans="1:14" ht="23.1" customHeight="1">
      <c r="A197" s="499"/>
      <c r="B197" s="500"/>
      <c r="C197" s="500"/>
      <c r="D197" s="500"/>
      <c r="E197" s="500"/>
      <c r="F197" s="500"/>
      <c r="G197" s="500"/>
      <c r="H197" s="500"/>
      <c r="I197" s="500"/>
      <c r="J197" s="500"/>
      <c r="K197" s="500"/>
      <c r="L197" s="500"/>
      <c r="M197" s="500"/>
      <c r="N197" s="500"/>
    </row>
    <row r="198" spans="1:14" ht="23.1" customHeight="1">
      <c r="A198" s="499"/>
      <c r="B198" s="500"/>
      <c r="C198" s="500"/>
      <c r="D198" s="500"/>
      <c r="E198" s="500"/>
      <c r="F198" s="500"/>
      <c r="G198" s="500"/>
      <c r="H198" s="500"/>
      <c r="I198" s="500"/>
      <c r="J198" s="500"/>
      <c r="K198" s="500"/>
      <c r="L198" s="500"/>
      <c r="M198" s="500"/>
      <c r="N198" s="500"/>
    </row>
    <row r="199" spans="1:14" ht="23.1" customHeight="1">
      <c r="A199" s="499"/>
      <c r="B199" s="500"/>
      <c r="C199" s="500"/>
      <c r="D199" s="500"/>
      <c r="E199" s="500"/>
      <c r="F199" s="500"/>
      <c r="G199" s="500"/>
      <c r="H199" s="500"/>
      <c r="I199" s="500"/>
      <c r="J199" s="500"/>
      <c r="K199" s="500"/>
      <c r="L199" s="500"/>
      <c r="M199" s="500"/>
      <c r="N199" s="500"/>
    </row>
    <row r="200" spans="1:14" ht="23.1" customHeight="1">
      <c r="A200" s="499"/>
      <c r="B200" s="500"/>
      <c r="C200" s="500"/>
      <c r="D200" s="500"/>
      <c r="E200" s="500"/>
      <c r="F200" s="500"/>
      <c r="G200" s="500"/>
      <c r="H200" s="500"/>
      <c r="I200" s="500"/>
      <c r="J200" s="500"/>
      <c r="K200" s="500"/>
      <c r="L200" s="500"/>
      <c r="M200" s="500"/>
      <c r="N200" s="500"/>
    </row>
    <row r="201" spans="1:14" ht="23.1" customHeight="1">
      <c r="A201" s="499"/>
      <c r="B201" s="500"/>
      <c r="C201" s="500"/>
      <c r="D201" s="500"/>
      <c r="E201" s="500"/>
      <c r="F201" s="500"/>
      <c r="G201" s="500"/>
      <c r="H201" s="500"/>
      <c r="I201" s="500"/>
      <c r="J201" s="500"/>
      <c r="K201" s="500"/>
      <c r="L201" s="500"/>
      <c r="M201" s="500"/>
      <c r="N201" s="500"/>
    </row>
    <row r="202" spans="1:14" ht="23.1" customHeight="1">
      <c r="A202" s="499"/>
      <c r="B202" s="500"/>
      <c r="C202" s="500"/>
      <c r="D202" s="500"/>
      <c r="E202" s="500"/>
      <c r="F202" s="500"/>
      <c r="G202" s="500"/>
      <c r="H202" s="500"/>
      <c r="I202" s="500"/>
      <c r="J202" s="500"/>
      <c r="K202" s="500"/>
      <c r="L202" s="500"/>
      <c r="M202" s="500"/>
      <c r="N202" s="500"/>
    </row>
    <row r="203" spans="1:14" ht="23.1" customHeight="1">
      <c r="A203" s="499"/>
      <c r="B203" s="500"/>
      <c r="C203" s="500"/>
      <c r="D203" s="500"/>
      <c r="E203" s="500"/>
      <c r="F203" s="500"/>
      <c r="G203" s="500"/>
      <c r="H203" s="500"/>
      <c r="I203" s="500"/>
      <c r="J203" s="500"/>
      <c r="K203" s="500"/>
      <c r="L203" s="500"/>
      <c r="M203" s="500"/>
      <c r="N203" s="500"/>
    </row>
    <row r="204" spans="1:14" ht="23.1" customHeight="1">
      <c r="A204" s="499"/>
      <c r="B204" s="500"/>
      <c r="C204" s="500"/>
      <c r="D204" s="500"/>
      <c r="E204" s="500"/>
      <c r="F204" s="500"/>
      <c r="G204" s="500"/>
      <c r="H204" s="500"/>
      <c r="I204" s="500"/>
      <c r="J204" s="500"/>
      <c r="K204" s="500"/>
      <c r="L204" s="500"/>
      <c r="M204" s="500"/>
      <c r="N204" s="500"/>
    </row>
    <row r="205" spans="1:14" ht="23.1" customHeight="1">
      <c r="A205" s="499"/>
      <c r="B205" s="500"/>
      <c r="C205" s="500"/>
      <c r="D205" s="500"/>
      <c r="E205" s="500"/>
      <c r="F205" s="500"/>
      <c r="G205" s="500"/>
      <c r="H205" s="500"/>
      <c r="I205" s="500"/>
      <c r="J205" s="500"/>
      <c r="K205" s="500"/>
      <c r="L205" s="500"/>
      <c r="M205" s="500"/>
      <c r="N205" s="500"/>
    </row>
    <row r="206" spans="1:14" ht="23.1" customHeight="1">
      <c r="A206" s="499"/>
      <c r="B206" s="500"/>
      <c r="C206" s="500"/>
      <c r="D206" s="500"/>
      <c r="E206" s="500"/>
      <c r="F206" s="500"/>
      <c r="G206" s="500"/>
      <c r="H206" s="500"/>
      <c r="I206" s="500"/>
      <c r="J206" s="500"/>
      <c r="K206" s="500"/>
      <c r="L206" s="500"/>
      <c r="M206" s="500"/>
      <c r="N206" s="500"/>
    </row>
    <row r="207" spans="1:14" ht="23.1" customHeight="1">
      <c r="A207" s="499"/>
      <c r="B207" s="500"/>
      <c r="C207" s="500"/>
      <c r="D207" s="500"/>
      <c r="E207" s="500"/>
      <c r="F207" s="500"/>
      <c r="G207" s="500"/>
      <c r="H207" s="500"/>
      <c r="I207" s="500"/>
      <c r="J207" s="500"/>
      <c r="K207" s="500"/>
      <c r="L207" s="500"/>
      <c r="M207" s="500"/>
      <c r="N207" s="500"/>
    </row>
    <row r="208" spans="1:14" ht="23.1" customHeight="1">
      <c r="A208" s="499"/>
      <c r="B208" s="500"/>
      <c r="C208" s="500"/>
      <c r="D208" s="500"/>
      <c r="E208" s="500"/>
      <c r="F208" s="500"/>
      <c r="G208" s="500"/>
      <c r="H208" s="500"/>
      <c r="I208" s="500"/>
      <c r="J208" s="500"/>
      <c r="K208" s="500"/>
      <c r="L208" s="500"/>
      <c r="M208" s="500"/>
      <c r="N208" s="500"/>
    </row>
    <row r="209" spans="1:14" ht="23.1" customHeight="1">
      <c r="A209" s="499"/>
      <c r="B209" s="500"/>
      <c r="C209" s="500"/>
      <c r="D209" s="500"/>
      <c r="E209" s="500"/>
      <c r="F209" s="500"/>
      <c r="G209" s="500"/>
      <c r="H209" s="500"/>
      <c r="I209" s="500"/>
      <c r="J209" s="500"/>
      <c r="K209" s="500"/>
      <c r="L209" s="500"/>
      <c r="M209" s="500"/>
      <c r="N209" s="500"/>
    </row>
    <row r="210" spans="1:14" ht="23.1" customHeight="1">
      <c r="A210" s="499"/>
      <c r="B210" s="500"/>
      <c r="C210" s="500"/>
      <c r="D210" s="500"/>
      <c r="E210" s="500"/>
      <c r="F210" s="500"/>
      <c r="G210" s="500"/>
      <c r="H210" s="500"/>
      <c r="I210" s="500"/>
      <c r="J210" s="500"/>
      <c r="K210" s="500"/>
      <c r="L210" s="500"/>
      <c r="M210" s="500"/>
      <c r="N210" s="500"/>
    </row>
    <row r="211" spans="1:14" ht="23.1" customHeight="1">
      <c r="A211" s="499"/>
      <c r="B211" s="500"/>
      <c r="C211" s="500"/>
      <c r="D211" s="500"/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</row>
    <row r="212" spans="1:14" ht="23.1" customHeight="1">
      <c r="A212" s="499"/>
      <c r="B212" s="500"/>
      <c r="C212" s="500"/>
      <c r="D212" s="500"/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</row>
    <row r="213" spans="1:14" ht="23.1" customHeight="1">
      <c r="A213" s="499"/>
      <c r="B213" s="500"/>
      <c r="C213" s="500"/>
      <c r="D213" s="500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</row>
    <row r="214" spans="1:14" ht="23.1" customHeight="1">
      <c r="A214" s="499"/>
      <c r="B214" s="500"/>
      <c r="C214" s="500"/>
      <c r="D214" s="500"/>
      <c r="E214" s="500"/>
      <c r="F214" s="500"/>
      <c r="G214" s="500"/>
      <c r="H214" s="500"/>
      <c r="I214" s="500"/>
      <c r="J214" s="500"/>
      <c r="K214" s="500"/>
      <c r="L214" s="500"/>
      <c r="M214" s="500"/>
      <c r="N214" s="500"/>
    </row>
    <row r="215" spans="1:14" ht="23.1" customHeight="1">
      <c r="A215" s="499"/>
      <c r="B215" s="500"/>
      <c r="C215" s="500"/>
      <c r="D215" s="500"/>
      <c r="E215" s="500"/>
      <c r="F215" s="500"/>
      <c r="G215" s="500"/>
      <c r="H215" s="500"/>
      <c r="I215" s="500"/>
      <c r="J215" s="500"/>
      <c r="K215" s="500"/>
      <c r="L215" s="500"/>
      <c r="M215" s="500"/>
      <c r="N215" s="500"/>
    </row>
    <row r="216" spans="1:14" ht="23.1" customHeight="1">
      <c r="A216" s="499"/>
      <c r="B216" s="500"/>
      <c r="C216" s="500"/>
      <c r="D216" s="500"/>
      <c r="E216" s="500"/>
      <c r="F216" s="500"/>
      <c r="G216" s="500"/>
      <c r="H216" s="500"/>
      <c r="I216" s="500"/>
      <c r="J216" s="500"/>
      <c r="K216" s="500"/>
      <c r="L216" s="500"/>
      <c r="M216" s="500"/>
      <c r="N216" s="500"/>
    </row>
    <row r="217" spans="1:14" ht="23.1" customHeight="1">
      <c r="A217" s="499"/>
      <c r="B217" s="500"/>
      <c r="C217" s="500"/>
      <c r="D217" s="500"/>
      <c r="E217" s="500"/>
      <c r="F217" s="500"/>
      <c r="G217" s="500"/>
      <c r="H217" s="500"/>
      <c r="I217" s="500"/>
      <c r="J217" s="500"/>
      <c r="K217" s="500"/>
      <c r="L217" s="500"/>
      <c r="M217" s="500"/>
      <c r="N217" s="500"/>
    </row>
    <row r="218" spans="1:14" ht="23.1" customHeight="1">
      <c r="A218" s="499"/>
      <c r="B218" s="500"/>
      <c r="C218" s="500"/>
      <c r="D218" s="500"/>
      <c r="E218" s="500"/>
      <c r="F218" s="500"/>
      <c r="G218" s="500"/>
      <c r="H218" s="500"/>
      <c r="I218" s="500"/>
      <c r="J218" s="500"/>
      <c r="K218" s="500"/>
      <c r="L218" s="500"/>
      <c r="M218" s="500"/>
      <c r="N218" s="500"/>
    </row>
    <row r="219" spans="1:14" ht="23.1" customHeight="1">
      <c r="A219" s="499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</row>
    <row r="220" spans="1:14" ht="23.1" customHeight="1">
      <c r="A220" s="499"/>
      <c r="B220" s="500"/>
      <c r="C220" s="500"/>
      <c r="D220" s="500"/>
      <c r="E220" s="500"/>
      <c r="F220" s="500"/>
      <c r="G220" s="500"/>
      <c r="H220" s="500"/>
      <c r="I220" s="500"/>
      <c r="J220" s="500"/>
      <c r="K220" s="500"/>
      <c r="L220" s="500"/>
      <c r="M220" s="500"/>
      <c r="N220" s="500"/>
    </row>
    <row r="221" spans="1:14" ht="23.1" customHeight="1">
      <c r="A221" s="499"/>
      <c r="B221" s="500"/>
      <c r="C221" s="500"/>
      <c r="D221" s="500"/>
      <c r="E221" s="500"/>
      <c r="F221" s="500"/>
      <c r="G221" s="500"/>
      <c r="H221" s="500"/>
      <c r="I221" s="500"/>
      <c r="J221" s="500"/>
      <c r="K221" s="500"/>
      <c r="L221" s="500"/>
      <c r="M221" s="500"/>
      <c r="N221" s="500"/>
    </row>
    <row r="222" spans="1:14" ht="23.1" customHeight="1">
      <c r="A222" s="499"/>
      <c r="B222" s="500"/>
      <c r="C222" s="500"/>
      <c r="D222" s="500"/>
      <c r="E222" s="500"/>
      <c r="F222" s="500"/>
      <c r="G222" s="500"/>
      <c r="H222" s="500"/>
      <c r="I222" s="500"/>
      <c r="J222" s="500"/>
      <c r="K222" s="500"/>
      <c r="L222" s="500"/>
      <c r="M222" s="500"/>
      <c r="N222" s="500"/>
    </row>
    <row r="223" spans="1:14" ht="23.1" customHeight="1">
      <c r="A223" s="499"/>
      <c r="B223" s="500"/>
      <c r="C223" s="500"/>
      <c r="D223" s="500"/>
      <c r="E223" s="500"/>
      <c r="F223" s="500"/>
      <c r="G223" s="500"/>
      <c r="H223" s="500"/>
      <c r="I223" s="500"/>
      <c r="J223" s="500"/>
      <c r="K223" s="500"/>
      <c r="L223" s="500"/>
      <c r="M223" s="500"/>
      <c r="N223" s="500"/>
    </row>
    <row r="224" spans="1:14" ht="23.1" customHeight="1">
      <c r="A224" s="499"/>
      <c r="B224" s="500"/>
      <c r="C224" s="500"/>
      <c r="D224" s="500"/>
      <c r="E224" s="500"/>
      <c r="F224" s="500"/>
      <c r="G224" s="500"/>
      <c r="H224" s="500"/>
      <c r="I224" s="500"/>
      <c r="J224" s="500"/>
      <c r="K224" s="500"/>
      <c r="L224" s="500"/>
      <c r="M224" s="500"/>
      <c r="N224" s="500"/>
    </row>
    <row r="225" spans="1:14" ht="23.1" customHeight="1">
      <c r="A225" s="499"/>
      <c r="B225" s="500"/>
      <c r="C225" s="500"/>
      <c r="D225" s="500"/>
      <c r="E225" s="500"/>
      <c r="F225" s="500"/>
      <c r="G225" s="500"/>
      <c r="H225" s="500"/>
      <c r="I225" s="500"/>
      <c r="J225" s="500"/>
      <c r="K225" s="500"/>
      <c r="L225" s="500"/>
      <c r="M225" s="500"/>
      <c r="N225" s="500"/>
    </row>
    <row r="226" spans="1:14" ht="23.1" customHeight="1">
      <c r="A226" s="499"/>
      <c r="B226" s="500"/>
      <c r="C226" s="500"/>
      <c r="D226" s="500"/>
      <c r="E226" s="500"/>
      <c r="F226" s="500"/>
      <c r="G226" s="500"/>
      <c r="H226" s="500"/>
      <c r="I226" s="500"/>
      <c r="J226" s="500"/>
      <c r="K226" s="500"/>
      <c r="L226" s="500"/>
      <c r="M226" s="500"/>
      <c r="N226" s="500"/>
    </row>
    <row r="227" spans="1:14" ht="23.1" customHeight="1">
      <c r="A227" s="499"/>
      <c r="B227" s="500"/>
      <c r="C227" s="500"/>
      <c r="D227" s="500"/>
      <c r="E227" s="500"/>
      <c r="F227" s="500"/>
      <c r="G227" s="500"/>
      <c r="H227" s="500"/>
      <c r="I227" s="500"/>
      <c r="J227" s="500"/>
      <c r="K227" s="500"/>
      <c r="L227" s="500"/>
      <c r="M227" s="500"/>
      <c r="N227" s="500"/>
    </row>
    <row r="228" spans="1:14" ht="23.1" customHeight="1">
      <c r="A228" s="499"/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  <c r="M228" s="500"/>
      <c r="N228" s="500"/>
    </row>
    <row r="229" spans="1:14" ht="23.1" customHeight="1">
      <c r="A229" s="499"/>
      <c r="B229" s="500"/>
      <c r="C229" s="500"/>
      <c r="D229" s="500"/>
      <c r="E229" s="500"/>
      <c r="F229" s="500"/>
      <c r="G229" s="500"/>
      <c r="H229" s="500"/>
      <c r="I229" s="500"/>
      <c r="J229" s="500"/>
      <c r="K229" s="500"/>
      <c r="L229" s="500"/>
      <c r="M229" s="500"/>
      <c r="N229" s="500"/>
    </row>
    <row r="230" spans="1:14" ht="23.1" customHeight="1">
      <c r="A230" s="499"/>
      <c r="B230" s="500"/>
      <c r="C230" s="500"/>
      <c r="D230" s="500"/>
      <c r="E230" s="500"/>
      <c r="F230" s="500"/>
      <c r="G230" s="500"/>
      <c r="H230" s="500"/>
      <c r="I230" s="500"/>
      <c r="J230" s="500"/>
      <c r="K230" s="500"/>
      <c r="L230" s="500"/>
      <c r="M230" s="500"/>
      <c r="N230" s="500"/>
    </row>
    <row r="231" spans="1:14" ht="23.1" customHeight="1">
      <c r="A231" s="499"/>
      <c r="B231" s="500"/>
      <c r="C231" s="500"/>
      <c r="D231" s="500"/>
      <c r="E231" s="500"/>
      <c r="F231" s="500"/>
      <c r="G231" s="500"/>
      <c r="H231" s="500"/>
      <c r="I231" s="500"/>
      <c r="J231" s="500"/>
      <c r="K231" s="500"/>
      <c r="L231" s="500"/>
      <c r="M231" s="500"/>
      <c r="N231" s="500"/>
    </row>
    <row r="232" spans="1:14" ht="23.1" customHeight="1">
      <c r="A232" s="499"/>
      <c r="B232" s="500"/>
      <c r="C232" s="500"/>
      <c r="D232" s="500"/>
      <c r="E232" s="500"/>
      <c r="F232" s="500"/>
      <c r="G232" s="500"/>
      <c r="H232" s="500"/>
      <c r="I232" s="500"/>
      <c r="J232" s="500"/>
      <c r="K232" s="500"/>
      <c r="L232" s="500"/>
      <c r="M232" s="500"/>
      <c r="N232" s="500"/>
    </row>
    <row r="233" spans="1:14" ht="23.1" customHeight="1">
      <c r="A233" s="499"/>
      <c r="B233" s="500"/>
      <c r="C233" s="500"/>
      <c r="D233" s="500"/>
      <c r="E233" s="500"/>
      <c r="F233" s="500"/>
      <c r="G233" s="500"/>
      <c r="H233" s="500"/>
      <c r="I233" s="500"/>
      <c r="J233" s="500"/>
      <c r="K233" s="500"/>
      <c r="L233" s="500"/>
      <c r="M233" s="500"/>
      <c r="N233" s="500"/>
    </row>
    <row r="234" spans="1:14" ht="23.1" customHeight="1">
      <c r="A234" s="499"/>
      <c r="B234" s="500"/>
      <c r="C234" s="500"/>
      <c r="D234" s="500"/>
      <c r="E234" s="500"/>
      <c r="F234" s="500"/>
      <c r="G234" s="500"/>
      <c r="H234" s="500"/>
      <c r="I234" s="500"/>
      <c r="J234" s="500"/>
      <c r="K234" s="500"/>
      <c r="L234" s="500"/>
      <c r="M234" s="500"/>
      <c r="N234" s="500"/>
    </row>
    <row r="235" spans="1:14" ht="23.1" customHeight="1">
      <c r="A235" s="499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  <c r="N235" s="500"/>
    </row>
    <row r="236" spans="1:14" ht="23.1" customHeight="1">
      <c r="A236" s="499"/>
      <c r="B236" s="500"/>
      <c r="C236" s="500"/>
      <c r="D236" s="500"/>
      <c r="E236" s="500"/>
      <c r="F236" s="500"/>
      <c r="G236" s="500"/>
      <c r="H236" s="500"/>
      <c r="I236" s="500"/>
      <c r="J236" s="500"/>
      <c r="K236" s="500"/>
      <c r="L236" s="500"/>
      <c r="M236" s="500"/>
      <c r="N236" s="500"/>
    </row>
    <row r="237" spans="1:14" ht="23.1" customHeight="1">
      <c r="A237" s="499"/>
      <c r="B237" s="500"/>
      <c r="C237" s="500"/>
      <c r="D237" s="500"/>
      <c r="E237" s="500"/>
      <c r="F237" s="500"/>
      <c r="G237" s="500"/>
      <c r="H237" s="500"/>
      <c r="I237" s="500"/>
      <c r="J237" s="500"/>
      <c r="K237" s="500"/>
      <c r="L237" s="500"/>
      <c r="M237" s="500"/>
      <c r="N237" s="500"/>
    </row>
    <row r="238" spans="1:14" ht="23.1" customHeight="1">
      <c r="A238" s="499"/>
      <c r="B238" s="500"/>
      <c r="C238" s="500"/>
      <c r="D238" s="500"/>
      <c r="E238" s="500"/>
      <c r="F238" s="500"/>
      <c r="G238" s="500"/>
      <c r="H238" s="500"/>
      <c r="I238" s="500"/>
      <c r="J238" s="500"/>
      <c r="K238" s="500"/>
      <c r="L238" s="500"/>
      <c r="M238" s="500"/>
      <c r="N238" s="500"/>
    </row>
    <row r="239" spans="1:14" ht="23.1" customHeight="1">
      <c r="A239" s="499"/>
      <c r="B239" s="500"/>
      <c r="C239" s="500"/>
      <c r="D239" s="500"/>
      <c r="E239" s="500"/>
      <c r="F239" s="500"/>
      <c r="G239" s="500"/>
      <c r="H239" s="500"/>
      <c r="I239" s="500"/>
      <c r="J239" s="500"/>
      <c r="K239" s="500"/>
      <c r="L239" s="500"/>
      <c r="M239" s="500"/>
      <c r="N239" s="500"/>
    </row>
    <row r="240" spans="1:14" ht="23.1" customHeight="1">
      <c r="A240" s="499"/>
      <c r="B240" s="500"/>
      <c r="C240" s="500"/>
      <c r="D240" s="500"/>
      <c r="E240" s="500"/>
      <c r="F240" s="500"/>
      <c r="G240" s="500"/>
      <c r="H240" s="500"/>
      <c r="I240" s="500"/>
      <c r="J240" s="500"/>
      <c r="K240" s="500"/>
      <c r="L240" s="500"/>
      <c r="M240" s="500"/>
      <c r="N240" s="500"/>
    </row>
    <row r="241" spans="1:14" ht="23.1" customHeight="1">
      <c r="A241" s="499"/>
      <c r="B241" s="500"/>
      <c r="C241" s="500"/>
      <c r="D241" s="500"/>
      <c r="E241" s="500"/>
      <c r="F241" s="500"/>
      <c r="G241" s="500"/>
      <c r="H241" s="500"/>
      <c r="I241" s="500"/>
      <c r="J241" s="500"/>
      <c r="K241" s="500"/>
      <c r="L241" s="500"/>
      <c r="M241" s="500"/>
      <c r="N241" s="500"/>
    </row>
    <row r="242" spans="1:14" ht="23.1" customHeight="1">
      <c r="A242" s="499"/>
      <c r="B242" s="500"/>
      <c r="C242" s="500"/>
      <c r="D242" s="500"/>
      <c r="E242" s="500"/>
      <c r="F242" s="500"/>
      <c r="G242" s="500"/>
      <c r="H242" s="500"/>
      <c r="I242" s="500"/>
      <c r="J242" s="500"/>
      <c r="K242" s="500"/>
      <c r="L242" s="500"/>
      <c r="M242" s="500"/>
      <c r="N242" s="500"/>
    </row>
    <row r="243" spans="1:14" ht="23.1" customHeight="1">
      <c r="A243" s="499"/>
      <c r="B243" s="500"/>
      <c r="C243" s="500"/>
      <c r="D243" s="500"/>
      <c r="E243" s="500"/>
      <c r="F243" s="500"/>
      <c r="G243" s="500"/>
      <c r="H243" s="500"/>
      <c r="I243" s="500"/>
      <c r="J243" s="500"/>
      <c r="K243" s="500"/>
      <c r="L243" s="500"/>
      <c r="M243" s="500"/>
      <c r="N243" s="500"/>
    </row>
    <row r="244" spans="1:14" ht="23.1" customHeight="1">
      <c r="A244" s="499"/>
      <c r="B244" s="500"/>
      <c r="C244" s="500"/>
      <c r="D244" s="500"/>
      <c r="E244" s="500"/>
      <c r="F244" s="500"/>
      <c r="G244" s="500"/>
      <c r="H244" s="500"/>
      <c r="I244" s="500"/>
      <c r="J244" s="500"/>
      <c r="K244" s="500"/>
      <c r="L244" s="500"/>
      <c r="M244" s="500"/>
      <c r="N244" s="500"/>
    </row>
    <row r="245" spans="1:14" ht="23.1" customHeight="1">
      <c r="A245" s="499"/>
      <c r="B245" s="500"/>
      <c r="C245" s="500"/>
      <c r="D245" s="500"/>
      <c r="E245" s="500"/>
      <c r="F245" s="500"/>
      <c r="G245" s="500"/>
      <c r="H245" s="500"/>
      <c r="I245" s="500"/>
      <c r="J245" s="500"/>
      <c r="K245" s="500"/>
      <c r="L245" s="500"/>
      <c r="M245" s="500"/>
      <c r="N245" s="500"/>
    </row>
    <row r="246" spans="1:14" ht="23.1" customHeight="1">
      <c r="A246" s="499"/>
      <c r="B246" s="500"/>
      <c r="C246" s="500"/>
      <c r="D246" s="500"/>
      <c r="E246" s="500"/>
      <c r="F246" s="500"/>
      <c r="G246" s="500"/>
      <c r="H246" s="500"/>
      <c r="I246" s="500"/>
      <c r="J246" s="500"/>
      <c r="K246" s="500"/>
      <c r="L246" s="500"/>
      <c r="M246" s="500"/>
      <c r="N246" s="500"/>
    </row>
    <row r="247" spans="1:14" ht="23.1" customHeight="1">
      <c r="A247" s="499"/>
      <c r="B247" s="500"/>
      <c r="C247" s="500"/>
      <c r="D247" s="500"/>
      <c r="E247" s="500"/>
      <c r="F247" s="500"/>
      <c r="G247" s="500"/>
      <c r="H247" s="500"/>
      <c r="I247" s="500"/>
      <c r="J247" s="500"/>
      <c r="K247" s="500"/>
      <c r="L247" s="500"/>
      <c r="M247" s="500"/>
      <c r="N247" s="500"/>
    </row>
    <row r="248" spans="1:14" ht="23.1" customHeight="1">
      <c r="A248" s="499"/>
      <c r="B248" s="500"/>
      <c r="C248" s="500"/>
      <c r="D248" s="500"/>
      <c r="E248" s="500"/>
      <c r="F248" s="500"/>
      <c r="G248" s="500"/>
      <c r="H248" s="500"/>
      <c r="I248" s="500"/>
      <c r="J248" s="500"/>
      <c r="K248" s="500"/>
      <c r="L248" s="500"/>
      <c r="M248" s="500"/>
      <c r="N248" s="500"/>
    </row>
    <row r="249" spans="1:14" ht="23.1" customHeight="1">
      <c r="A249" s="499"/>
      <c r="B249" s="500"/>
      <c r="C249" s="500"/>
      <c r="D249" s="500"/>
      <c r="E249" s="500"/>
      <c r="F249" s="500"/>
      <c r="G249" s="500"/>
      <c r="H249" s="500"/>
      <c r="I249" s="500"/>
      <c r="J249" s="500"/>
      <c r="K249" s="500"/>
      <c r="L249" s="500"/>
      <c r="M249" s="500"/>
      <c r="N249" s="500"/>
    </row>
    <row r="250" spans="1:14" ht="23.1" customHeight="1">
      <c r="A250" s="499"/>
      <c r="B250" s="500"/>
      <c r="C250" s="500"/>
      <c r="D250" s="500"/>
      <c r="E250" s="500"/>
      <c r="F250" s="500"/>
      <c r="G250" s="500"/>
      <c r="H250" s="500"/>
      <c r="I250" s="500"/>
      <c r="J250" s="500"/>
      <c r="K250" s="500"/>
      <c r="L250" s="500"/>
      <c r="M250" s="500"/>
      <c r="N250" s="500"/>
    </row>
    <row r="251" spans="1:14" ht="23.1" customHeight="1">
      <c r="A251" s="499"/>
      <c r="B251" s="500"/>
      <c r="C251" s="500"/>
      <c r="D251" s="500"/>
      <c r="E251" s="500"/>
      <c r="F251" s="500"/>
      <c r="G251" s="500"/>
      <c r="H251" s="500"/>
      <c r="I251" s="500"/>
      <c r="J251" s="500"/>
      <c r="K251" s="500"/>
      <c r="L251" s="500"/>
      <c r="M251" s="500"/>
      <c r="N251" s="500"/>
    </row>
    <row r="252" spans="1:14" ht="23.1" customHeight="1">
      <c r="A252" s="499"/>
      <c r="B252" s="500"/>
      <c r="C252" s="500"/>
      <c r="D252" s="500"/>
      <c r="E252" s="500"/>
      <c r="F252" s="500"/>
      <c r="G252" s="500"/>
      <c r="H252" s="500"/>
      <c r="I252" s="500"/>
      <c r="J252" s="500"/>
      <c r="K252" s="500"/>
      <c r="L252" s="500"/>
      <c r="M252" s="500"/>
      <c r="N252" s="500"/>
    </row>
    <row r="253" spans="1:14" ht="23.1" customHeight="1">
      <c r="A253" s="499"/>
      <c r="B253" s="500"/>
      <c r="C253" s="500"/>
      <c r="D253" s="500"/>
      <c r="E253" s="500"/>
      <c r="F253" s="500"/>
      <c r="G253" s="500"/>
      <c r="H253" s="500"/>
      <c r="I253" s="500"/>
      <c r="J253" s="500"/>
      <c r="K253" s="500"/>
      <c r="L253" s="500"/>
      <c r="M253" s="500"/>
      <c r="N253" s="500"/>
    </row>
    <row r="254" spans="1:14" ht="23.1" customHeight="1">
      <c r="A254" s="499"/>
      <c r="B254" s="500"/>
      <c r="C254" s="500"/>
      <c r="D254" s="500"/>
      <c r="E254" s="500"/>
      <c r="F254" s="500"/>
      <c r="G254" s="500"/>
      <c r="H254" s="500"/>
      <c r="I254" s="500"/>
      <c r="J254" s="500"/>
      <c r="K254" s="500"/>
      <c r="L254" s="500"/>
      <c r="M254" s="500"/>
      <c r="N254" s="500"/>
    </row>
    <row r="255" spans="1:14" ht="23.1" customHeight="1">
      <c r="A255" s="499"/>
      <c r="B255" s="500"/>
      <c r="C255" s="500"/>
      <c r="D255" s="500"/>
      <c r="E255" s="500"/>
      <c r="F255" s="500"/>
      <c r="G255" s="500"/>
      <c r="H255" s="500"/>
      <c r="I255" s="500"/>
      <c r="J255" s="500"/>
      <c r="K255" s="500"/>
      <c r="L255" s="500"/>
      <c r="M255" s="500"/>
      <c r="N255" s="500"/>
    </row>
    <row r="256" spans="1:14" ht="23.1" customHeight="1">
      <c r="A256" s="499"/>
      <c r="B256" s="500"/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  <c r="M256" s="500"/>
      <c r="N256" s="500"/>
    </row>
    <row r="257" spans="1:14" ht="23.1" customHeight="1">
      <c r="A257" s="499"/>
      <c r="B257" s="500"/>
      <c r="C257" s="500"/>
      <c r="D257" s="500"/>
      <c r="E257" s="500"/>
      <c r="F257" s="500"/>
      <c r="G257" s="500"/>
      <c r="H257" s="500"/>
      <c r="I257" s="500"/>
      <c r="J257" s="500"/>
      <c r="K257" s="500"/>
      <c r="L257" s="500"/>
      <c r="M257" s="500"/>
      <c r="N257" s="500"/>
    </row>
    <row r="258" spans="1:14" ht="23.1" customHeight="1">
      <c r="A258" s="499"/>
      <c r="B258" s="500"/>
      <c r="C258" s="500"/>
      <c r="D258" s="500"/>
      <c r="E258" s="500"/>
      <c r="F258" s="500"/>
      <c r="G258" s="500"/>
      <c r="H258" s="500"/>
      <c r="I258" s="500"/>
      <c r="J258" s="500"/>
      <c r="K258" s="500"/>
      <c r="L258" s="500"/>
      <c r="M258" s="500"/>
      <c r="N258" s="500"/>
    </row>
    <row r="259" spans="1:14" ht="23.1" customHeight="1">
      <c r="A259" s="499"/>
      <c r="B259" s="500"/>
      <c r="C259" s="500"/>
      <c r="D259" s="500"/>
      <c r="E259" s="500"/>
      <c r="F259" s="500"/>
      <c r="G259" s="500"/>
      <c r="H259" s="500"/>
      <c r="I259" s="500"/>
      <c r="J259" s="500"/>
      <c r="K259" s="500"/>
      <c r="L259" s="500"/>
      <c r="M259" s="500"/>
      <c r="N259" s="500"/>
    </row>
    <row r="260" spans="1:14" ht="23.1" customHeight="1">
      <c r="A260" s="499"/>
      <c r="B260" s="500"/>
      <c r="C260" s="500"/>
      <c r="D260" s="500"/>
      <c r="E260" s="500"/>
      <c r="F260" s="500"/>
      <c r="G260" s="500"/>
      <c r="H260" s="500"/>
      <c r="I260" s="500"/>
      <c r="J260" s="500"/>
      <c r="K260" s="500"/>
      <c r="L260" s="500"/>
      <c r="M260" s="500"/>
      <c r="N260" s="500"/>
    </row>
    <row r="261" spans="1:14" ht="23.1" customHeight="1">
      <c r="A261" s="499"/>
      <c r="B261" s="500"/>
      <c r="C261" s="500"/>
      <c r="D261" s="500"/>
      <c r="E261" s="500"/>
      <c r="F261" s="500"/>
      <c r="G261" s="500"/>
      <c r="H261" s="500"/>
      <c r="I261" s="500"/>
      <c r="J261" s="500"/>
      <c r="K261" s="500"/>
      <c r="L261" s="500"/>
      <c r="M261" s="500"/>
      <c r="N261" s="500"/>
    </row>
    <row r="262" spans="1:14" ht="23.1" customHeight="1">
      <c r="A262" s="499"/>
      <c r="B262" s="500"/>
      <c r="C262" s="500"/>
      <c r="D262" s="500"/>
      <c r="E262" s="500"/>
      <c r="F262" s="500"/>
      <c r="G262" s="500"/>
      <c r="H262" s="500"/>
      <c r="I262" s="500"/>
      <c r="J262" s="500"/>
      <c r="K262" s="500"/>
      <c r="L262" s="500"/>
      <c r="M262" s="500"/>
      <c r="N262" s="500"/>
    </row>
    <row r="263" spans="1:14" ht="23.1" customHeight="1">
      <c r="A263" s="499"/>
      <c r="B263" s="500"/>
      <c r="C263" s="500"/>
      <c r="D263" s="500"/>
      <c r="E263" s="500"/>
      <c r="F263" s="500"/>
      <c r="G263" s="500"/>
      <c r="H263" s="500"/>
      <c r="I263" s="500"/>
      <c r="J263" s="500"/>
      <c r="K263" s="500"/>
      <c r="L263" s="500"/>
      <c r="M263" s="500"/>
      <c r="N263" s="500"/>
    </row>
    <row r="264" spans="1:14" ht="23.1" customHeight="1">
      <c r="A264" s="499"/>
      <c r="B264" s="500"/>
      <c r="C264" s="500"/>
      <c r="D264" s="500"/>
      <c r="E264" s="500"/>
      <c r="F264" s="500"/>
      <c r="G264" s="500"/>
      <c r="H264" s="500"/>
      <c r="I264" s="500"/>
      <c r="J264" s="500"/>
      <c r="K264" s="500"/>
      <c r="L264" s="500"/>
      <c r="M264" s="500"/>
      <c r="N264" s="500"/>
    </row>
    <row r="265" spans="1:14" ht="23.1" customHeight="1">
      <c r="A265" s="499"/>
      <c r="B265" s="500"/>
      <c r="C265" s="500"/>
      <c r="D265" s="500"/>
      <c r="E265" s="500"/>
      <c r="F265" s="500"/>
      <c r="G265" s="500"/>
      <c r="H265" s="500"/>
      <c r="I265" s="500"/>
      <c r="J265" s="500"/>
      <c r="K265" s="500"/>
      <c r="L265" s="500"/>
      <c r="M265" s="500"/>
      <c r="N265" s="500"/>
    </row>
    <row r="266" spans="1:14" ht="23.1" customHeight="1">
      <c r="A266" s="499"/>
      <c r="B266" s="500"/>
      <c r="C266" s="500"/>
      <c r="D266" s="500"/>
      <c r="E266" s="500"/>
      <c r="F266" s="500"/>
      <c r="G266" s="500"/>
      <c r="H266" s="500"/>
      <c r="I266" s="500"/>
      <c r="J266" s="500"/>
      <c r="K266" s="500"/>
      <c r="L266" s="500"/>
      <c r="M266" s="500"/>
      <c r="N266" s="500"/>
    </row>
    <row r="267" spans="1:14" ht="23.1" customHeight="1">
      <c r="A267" s="499"/>
      <c r="B267" s="500"/>
      <c r="C267" s="500"/>
      <c r="D267" s="500"/>
      <c r="E267" s="500"/>
      <c r="F267" s="500"/>
      <c r="G267" s="500"/>
      <c r="H267" s="500"/>
      <c r="I267" s="500"/>
      <c r="J267" s="500"/>
      <c r="K267" s="500"/>
      <c r="L267" s="500"/>
      <c r="M267" s="500"/>
      <c r="N267" s="500"/>
    </row>
    <row r="268" spans="1:14" ht="23.1" customHeight="1">
      <c r="A268" s="499"/>
      <c r="B268" s="500"/>
      <c r="C268" s="500"/>
      <c r="D268" s="500"/>
      <c r="E268" s="500"/>
      <c r="F268" s="500"/>
      <c r="G268" s="500"/>
      <c r="H268" s="500"/>
      <c r="I268" s="500"/>
      <c r="J268" s="500"/>
      <c r="K268" s="500"/>
      <c r="L268" s="500"/>
      <c r="M268" s="500"/>
      <c r="N268" s="500"/>
    </row>
    <row r="269" spans="1:14" ht="23.1" customHeight="1">
      <c r="A269" s="499"/>
      <c r="B269" s="500"/>
      <c r="C269" s="500"/>
      <c r="D269" s="500"/>
      <c r="E269" s="500"/>
      <c r="F269" s="500"/>
      <c r="G269" s="500"/>
      <c r="H269" s="500"/>
      <c r="I269" s="500"/>
      <c r="J269" s="500"/>
      <c r="K269" s="500"/>
      <c r="L269" s="500"/>
      <c r="M269" s="500"/>
      <c r="N269" s="500"/>
    </row>
    <row r="270" spans="1:14" ht="23.1" customHeight="1">
      <c r="A270" s="499"/>
      <c r="B270" s="500"/>
      <c r="C270" s="500"/>
      <c r="D270" s="500"/>
      <c r="E270" s="500"/>
      <c r="F270" s="500"/>
      <c r="G270" s="500"/>
      <c r="H270" s="500"/>
      <c r="I270" s="500"/>
      <c r="J270" s="500"/>
      <c r="K270" s="500"/>
      <c r="L270" s="500"/>
      <c r="M270" s="500"/>
      <c r="N270" s="500"/>
    </row>
    <row r="271" spans="1:14" ht="23.1" customHeight="1">
      <c r="A271" s="499"/>
      <c r="B271" s="500"/>
      <c r="C271" s="500"/>
      <c r="D271" s="500"/>
      <c r="E271" s="500"/>
      <c r="F271" s="500"/>
      <c r="G271" s="500"/>
      <c r="H271" s="500"/>
      <c r="I271" s="500"/>
      <c r="J271" s="500"/>
      <c r="K271" s="500"/>
      <c r="L271" s="500"/>
      <c r="M271" s="500"/>
      <c r="N271" s="500"/>
    </row>
    <row r="272" spans="1:14" ht="23.1" customHeight="1">
      <c r="A272" s="499"/>
      <c r="B272" s="500"/>
      <c r="C272" s="500"/>
      <c r="D272" s="500"/>
      <c r="E272" s="500"/>
      <c r="F272" s="500"/>
      <c r="G272" s="500"/>
      <c r="H272" s="500"/>
      <c r="I272" s="500"/>
      <c r="J272" s="500"/>
      <c r="K272" s="500"/>
      <c r="L272" s="500"/>
      <c r="M272" s="500"/>
      <c r="N272" s="500"/>
    </row>
    <row r="273" spans="1:14" ht="23.1" customHeight="1">
      <c r="A273" s="499"/>
      <c r="B273" s="500"/>
      <c r="C273" s="500"/>
      <c r="D273" s="500"/>
      <c r="E273" s="500"/>
      <c r="F273" s="500"/>
      <c r="G273" s="500"/>
      <c r="H273" s="500"/>
      <c r="I273" s="500"/>
      <c r="J273" s="500"/>
      <c r="K273" s="500"/>
      <c r="L273" s="500"/>
      <c r="M273" s="500"/>
      <c r="N273" s="500"/>
    </row>
    <row r="274" spans="1:14" ht="23.1" customHeight="1">
      <c r="A274" s="499"/>
      <c r="B274" s="500"/>
      <c r="C274" s="500"/>
      <c r="D274" s="500"/>
      <c r="E274" s="500"/>
      <c r="F274" s="500"/>
      <c r="G274" s="500"/>
      <c r="H274" s="500"/>
      <c r="I274" s="500"/>
      <c r="J274" s="500"/>
      <c r="K274" s="500"/>
      <c r="L274" s="500"/>
      <c r="M274" s="500"/>
      <c r="N274" s="500"/>
    </row>
    <row r="275" spans="1:14" ht="23.1" customHeight="1">
      <c r="A275" s="499"/>
      <c r="B275" s="500"/>
      <c r="C275" s="500"/>
      <c r="D275" s="500"/>
      <c r="E275" s="500"/>
      <c r="F275" s="500"/>
      <c r="G275" s="500"/>
      <c r="H275" s="500"/>
      <c r="I275" s="500"/>
      <c r="J275" s="500"/>
      <c r="K275" s="500"/>
      <c r="L275" s="500"/>
      <c r="M275" s="500"/>
      <c r="N275" s="500"/>
    </row>
    <row r="276" spans="1:14" ht="23.1" customHeight="1">
      <c r="A276" s="499"/>
      <c r="B276" s="500"/>
      <c r="C276" s="500"/>
      <c r="D276" s="500"/>
      <c r="E276" s="500"/>
      <c r="F276" s="500"/>
      <c r="G276" s="500"/>
      <c r="H276" s="500"/>
      <c r="I276" s="500"/>
      <c r="J276" s="500"/>
      <c r="K276" s="500"/>
      <c r="L276" s="500"/>
      <c r="M276" s="500"/>
      <c r="N276" s="500"/>
    </row>
    <row r="277" spans="1:14" ht="23.1" customHeight="1">
      <c r="A277" s="499"/>
      <c r="B277" s="500"/>
      <c r="C277" s="500"/>
      <c r="D277" s="500"/>
      <c r="E277" s="500"/>
      <c r="F277" s="500"/>
      <c r="G277" s="500"/>
      <c r="H277" s="500"/>
      <c r="I277" s="500"/>
      <c r="J277" s="500"/>
      <c r="K277" s="500"/>
      <c r="L277" s="500"/>
      <c r="M277" s="500"/>
      <c r="N277" s="500"/>
    </row>
    <row r="278" spans="1:14" ht="23.1" customHeight="1">
      <c r="A278" s="499"/>
      <c r="B278" s="500"/>
      <c r="C278" s="500"/>
      <c r="D278" s="500"/>
      <c r="E278" s="500"/>
      <c r="F278" s="500"/>
      <c r="G278" s="500"/>
      <c r="H278" s="500"/>
      <c r="I278" s="500"/>
      <c r="J278" s="500"/>
      <c r="K278" s="500"/>
      <c r="L278" s="500"/>
      <c r="M278" s="500"/>
      <c r="N278" s="500"/>
    </row>
    <row r="279" spans="1:14" ht="23.1" customHeight="1">
      <c r="A279" s="499"/>
      <c r="B279" s="500"/>
      <c r="C279" s="500"/>
      <c r="D279" s="500"/>
      <c r="E279" s="500"/>
      <c r="F279" s="500"/>
      <c r="G279" s="500"/>
      <c r="H279" s="500"/>
      <c r="I279" s="500"/>
      <c r="J279" s="500"/>
      <c r="K279" s="500"/>
      <c r="L279" s="500"/>
      <c r="M279" s="500"/>
      <c r="N279" s="500"/>
    </row>
    <row r="280" spans="1:14" ht="23.1" customHeight="1">
      <c r="A280" s="499"/>
      <c r="B280" s="500"/>
      <c r="C280" s="500"/>
      <c r="D280" s="500"/>
      <c r="E280" s="500"/>
      <c r="F280" s="500"/>
      <c r="G280" s="500"/>
      <c r="H280" s="500"/>
      <c r="I280" s="500"/>
      <c r="J280" s="500"/>
      <c r="K280" s="500"/>
      <c r="L280" s="500"/>
      <c r="M280" s="500"/>
      <c r="N280" s="500"/>
    </row>
    <row r="281" spans="1:14" ht="23.1" customHeight="1">
      <c r="A281" s="499"/>
      <c r="B281" s="500"/>
      <c r="C281" s="500"/>
      <c r="D281" s="500"/>
      <c r="E281" s="500"/>
      <c r="F281" s="500"/>
      <c r="G281" s="500"/>
      <c r="H281" s="500"/>
      <c r="I281" s="500"/>
      <c r="J281" s="500"/>
      <c r="K281" s="500"/>
      <c r="L281" s="500"/>
      <c r="M281" s="500"/>
      <c r="N281" s="500"/>
    </row>
    <row r="282" spans="1:14" ht="23.1" customHeight="1">
      <c r="A282" s="499"/>
      <c r="B282" s="500"/>
      <c r="C282" s="500"/>
      <c r="D282" s="500"/>
      <c r="E282" s="500"/>
      <c r="F282" s="500"/>
      <c r="G282" s="500"/>
      <c r="H282" s="500"/>
      <c r="I282" s="500"/>
      <c r="J282" s="500"/>
      <c r="K282" s="500"/>
      <c r="L282" s="500"/>
      <c r="M282" s="500"/>
      <c r="N282" s="500"/>
    </row>
    <row r="283" spans="1:14" ht="23.1" customHeight="1">
      <c r="A283" s="499"/>
      <c r="B283" s="500"/>
      <c r="C283" s="500"/>
      <c r="D283" s="500"/>
      <c r="E283" s="500"/>
      <c r="F283" s="500"/>
      <c r="G283" s="500"/>
      <c r="H283" s="500"/>
      <c r="I283" s="500"/>
      <c r="J283" s="500"/>
      <c r="K283" s="500"/>
      <c r="L283" s="500"/>
      <c r="M283" s="500"/>
      <c r="N283" s="500"/>
    </row>
    <row r="284" spans="1:14" ht="23.1" customHeight="1">
      <c r="A284" s="499"/>
      <c r="B284" s="500"/>
      <c r="C284" s="500"/>
      <c r="D284" s="500"/>
      <c r="E284" s="500"/>
      <c r="F284" s="500"/>
      <c r="G284" s="500"/>
      <c r="H284" s="500"/>
      <c r="I284" s="500"/>
      <c r="J284" s="500"/>
      <c r="K284" s="500"/>
      <c r="L284" s="500"/>
      <c r="M284" s="500"/>
      <c r="N284" s="500"/>
    </row>
    <row r="285" spans="1:14" ht="23.1" customHeight="1">
      <c r="A285" s="499"/>
      <c r="B285" s="500"/>
      <c r="C285" s="500"/>
      <c r="D285" s="500"/>
      <c r="E285" s="500"/>
      <c r="F285" s="500"/>
      <c r="G285" s="500"/>
      <c r="H285" s="500"/>
      <c r="I285" s="500"/>
      <c r="J285" s="500"/>
      <c r="K285" s="500"/>
      <c r="L285" s="500"/>
      <c r="M285" s="500"/>
      <c r="N285" s="500"/>
    </row>
    <row r="286" spans="1:14" ht="23.1" customHeight="1">
      <c r="A286" s="499"/>
      <c r="B286" s="500"/>
      <c r="C286" s="500"/>
      <c r="D286" s="500"/>
      <c r="E286" s="500"/>
      <c r="F286" s="500"/>
      <c r="G286" s="500"/>
      <c r="H286" s="500"/>
      <c r="I286" s="500"/>
      <c r="J286" s="500"/>
      <c r="K286" s="500"/>
      <c r="L286" s="500"/>
      <c r="M286" s="500"/>
      <c r="N286" s="500"/>
    </row>
    <row r="287" spans="1:14" ht="23.1" customHeight="1">
      <c r="A287" s="499"/>
      <c r="B287" s="500"/>
      <c r="C287" s="500"/>
      <c r="D287" s="500"/>
      <c r="E287" s="500"/>
      <c r="F287" s="500"/>
      <c r="G287" s="500"/>
      <c r="H287" s="500"/>
      <c r="I287" s="500"/>
      <c r="J287" s="500"/>
      <c r="K287" s="500"/>
      <c r="L287" s="500"/>
      <c r="M287" s="500"/>
      <c r="N287" s="500"/>
    </row>
    <row r="288" spans="1:14" ht="23.1" customHeight="1">
      <c r="A288" s="499"/>
      <c r="B288" s="500"/>
      <c r="C288" s="500"/>
      <c r="D288" s="500"/>
      <c r="E288" s="500"/>
      <c r="F288" s="500"/>
      <c r="G288" s="500"/>
      <c r="H288" s="500"/>
      <c r="I288" s="500"/>
      <c r="J288" s="500"/>
      <c r="K288" s="500"/>
      <c r="L288" s="500"/>
      <c r="M288" s="500"/>
      <c r="N288" s="500"/>
    </row>
    <row r="289" spans="1:14" ht="23.1" customHeight="1">
      <c r="A289" s="499"/>
      <c r="B289" s="500"/>
      <c r="C289" s="500"/>
      <c r="D289" s="500"/>
      <c r="E289" s="500"/>
      <c r="F289" s="500"/>
      <c r="G289" s="500"/>
      <c r="H289" s="500"/>
      <c r="I289" s="500"/>
      <c r="J289" s="500"/>
      <c r="K289" s="500"/>
      <c r="L289" s="500"/>
      <c r="M289" s="500"/>
      <c r="N289" s="500"/>
    </row>
    <row r="290" spans="1:14" ht="23.1" customHeight="1">
      <c r="A290" s="499"/>
      <c r="B290" s="500"/>
      <c r="C290" s="500"/>
      <c r="D290" s="500"/>
      <c r="E290" s="500"/>
      <c r="F290" s="500"/>
      <c r="G290" s="500"/>
      <c r="H290" s="500"/>
      <c r="I290" s="500"/>
      <c r="J290" s="500"/>
      <c r="K290" s="500"/>
      <c r="L290" s="500"/>
      <c r="M290" s="500"/>
      <c r="N290" s="500"/>
    </row>
    <row r="291" spans="1:14" ht="23.1" customHeight="1">
      <c r="A291" s="499"/>
      <c r="B291" s="500"/>
      <c r="C291" s="500"/>
      <c r="D291" s="500"/>
      <c r="E291" s="500"/>
      <c r="F291" s="500"/>
      <c r="G291" s="500"/>
      <c r="H291" s="500"/>
      <c r="I291" s="500"/>
      <c r="J291" s="500"/>
      <c r="K291" s="500"/>
      <c r="L291" s="500"/>
      <c r="M291" s="500"/>
      <c r="N291" s="500"/>
    </row>
    <row r="292" spans="1:14" ht="23.1" customHeight="1">
      <c r="A292" s="499"/>
      <c r="B292" s="500"/>
      <c r="C292" s="500"/>
      <c r="D292" s="500"/>
      <c r="E292" s="500"/>
      <c r="F292" s="500"/>
      <c r="G292" s="500"/>
      <c r="H292" s="500"/>
      <c r="I292" s="500"/>
      <c r="J292" s="500"/>
      <c r="K292" s="500"/>
      <c r="L292" s="500"/>
      <c r="M292" s="500"/>
      <c r="N292" s="500"/>
    </row>
    <row r="293" spans="1:14" ht="23.1" customHeight="1">
      <c r="A293" s="499"/>
      <c r="B293" s="500"/>
      <c r="C293" s="500"/>
      <c r="D293" s="500"/>
      <c r="E293" s="500"/>
      <c r="F293" s="500"/>
      <c r="G293" s="500"/>
      <c r="H293" s="500"/>
      <c r="I293" s="500"/>
      <c r="J293" s="500"/>
      <c r="K293" s="500"/>
      <c r="L293" s="500"/>
      <c r="M293" s="500"/>
      <c r="N293" s="500"/>
    </row>
    <row r="294" spans="1:14" ht="23.1" customHeight="1">
      <c r="A294" s="499"/>
      <c r="B294" s="500"/>
      <c r="C294" s="500"/>
      <c r="D294" s="500"/>
      <c r="E294" s="500"/>
      <c r="F294" s="500"/>
      <c r="G294" s="500"/>
      <c r="H294" s="500"/>
      <c r="I294" s="500"/>
      <c r="J294" s="500"/>
      <c r="K294" s="500"/>
      <c r="L294" s="500"/>
      <c r="M294" s="500"/>
      <c r="N294" s="500"/>
    </row>
    <row r="295" spans="1:14" ht="23.1" customHeight="1">
      <c r="A295" s="499"/>
      <c r="B295" s="500"/>
      <c r="C295" s="500"/>
      <c r="D295" s="500"/>
      <c r="E295" s="500"/>
      <c r="F295" s="500"/>
      <c r="G295" s="500"/>
      <c r="H295" s="500"/>
      <c r="I295" s="500"/>
      <c r="J295" s="500"/>
      <c r="K295" s="500"/>
      <c r="L295" s="500"/>
      <c r="M295" s="500"/>
      <c r="N295" s="500"/>
    </row>
    <row r="296" spans="1:14" ht="23.1" customHeight="1">
      <c r="A296" s="499"/>
      <c r="B296" s="500"/>
      <c r="C296" s="500"/>
      <c r="D296" s="500"/>
      <c r="E296" s="500"/>
      <c r="F296" s="500"/>
      <c r="G296" s="500"/>
      <c r="H296" s="500"/>
      <c r="I296" s="500"/>
      <c r="J296" s="500"/>
      <c r="K296" s="500"/>
      <c r="L296" s="500"/>
      <c r="M296" s="500"/>
      <c r="N296" s="500"/>
    </row>
    <row r="297" spans="1:14" ht="23.1" customHeight="1">
      <c r="A297" s="499"/>
      <c r="B297" s="500"/>
      <c r="C297" s="500"/>
      <c r="D297" s="500"/>
      <c r="E297" s="500"/>
      <c r="F297" s="500"/>
      <c r="G297" s="500"/>
      <c r="H297" s="500"/>
      <c r="I297" s="500"/>
      <c r="J297" s="500"/>
      <c r="K297" s="500"/>
      <c r="L297" s="500"/>
      <c r="M297" s="500"/>
      <c r="N297" s="500"/>
    </row>
    <row r="298" spans="1:14" ht="23.1" customHeight="1">
      <c r="A298" s="499"/>
      <c r="B298" s="500"/>
      <c r="C298" s="500"/>
      <c r="D298" s="500"/>
      <c r="E298" s="500"/>
      <c r="F298" s="500"/>
      <c r="G298" s="500"/>
      <c r="H298" s="500"/>
      <c r="I298" s="500"/>
      <c r="J298" s="500"/>
      <c r="K298" s="500"/>
      <c r="L298" s="500"/>
      <c r="M298" s="500"/>
      <c r="N298" s="500"/>
    </row>
    <row r="299" spans="1:14" ht="23.1" customHeight="1">
      <c r="A299" s="499"/>
      <c r="B299" s="500"/>
      <c r="C299" s="500"/>
      <c r="D299" s="500"/>
      <c r="E299" s="500"/>
      <c r="F299" s="500"/>
      <c r="G299" s="500"/>
      <c r="H299" s="500"/>
      <c r="I299" s="500"/>
      <c r="J299" s="500"/>
      <c r="K299" s="500"/>
      <c r="L299" s="500"/>
      <c r="M299" s="500"/>
      <c r="N299" s="500"/>
    </row>
    <row r="300" spans="1:14" ht="23.1" customHeight="1">
      <c r="A300" s="499"/>
      <c r="B300" s="500"/>
      <c r="C300" s="500"/>
      <c r="D300" s="500"/>
      <c r="E300" s="500"/>
      <c r="F300" s="500"/>
      <c r="G300" s="500"/>
      <c r="H300" s="500"/>
      <c r="I300" s="500"/>
      <c r="J300" s="500"/>
      <c r="K300" s="500"/>
      <c r="L300" s="500"/>
      <c r="M300" s="500"/>
      <c r="N300" s="500"/>
    </row>
    <row r="301" spans="1:14" ht="23.1" customHeight="1">
      <c r="A301" s="499"/>
      <c r="B301" s="500"/>
      <c r="C301" s="500"/>
      <c r="D301" s="500"/>
      <c r="E301" s="500"/>
      <c r="F301" s="500"/>
      <c r="G301" s="500"/>
      <c r="H301" s="500"/>
      <c r="I301" s="500"/>
      <c r="J301" s="500"/>
      <c r="K301" s="500"/>
      <c r="L301" s="500"/>
      <c r="M301" s="500"/>
      <c r="N301" s="500"/>
    </row>
    <row r="302" spans="1:14" ht="23.1" customHeight="1">
      <c r="A302" s="499"/>
      <c r="B302" s="500"/>
      <c r="C302" s="500"/>
      <c r="D302" s="500"/>
      <c r="E302" s="500"/>
      <c r="F302" s="500"/>
      <c r="G302" s="500"/>
      <c r="H302" s="500"/>
      <c r="I302" s="500"/>
      <c r="J302" s="500"/>
      <c r="K302" s="500"/>
      <c r="L302" s="500"/>
      <c r="M302" s="500"/>
      <c r="N302" s="500"/>
    </row>
    <row r="303" spans="1:14" ht="23.1" customHeight="1">
      <c r="A303" s="499"/>
      <c r="B303" s="500"/>
      <c r="C303" s="500"/>
      <c r="D303" s="500"/>
      <c r="E303" s="500"/>
      <c r="F303" s="500"/>
      <c r="G303" s="500"/>
      <c r="H303" s="500"/>
      <c r="I303" s="500"/>
      <c r="J303" s="500"/>
      <c r="K303" s="500"/>
      <c r="L303" s="500"/>
      <c r="M303" s="500"/>
      <c r="N303" s="500"/>
    </row>
    <row r="304" spans="1:14" ht="23.1" customHeight="1">
      <c r="A304" s="499"/>
      <c r="B304" s="500"/>
      <c r="C304" s="500"/>
      <c r="D304" s="500"/>
      <c r="E304" s="500"/>
      <c r="F304" s="500"/>
      <c r="G304" s="500"/>
      <c r="H304" s="500"/>
      <c r="I304" s="500"/>
      <c r="J304" s="500"/>
      <c r="K304" s="500"/>
      <c r="L304" s="500"/>
      <c r="M304" s="500"/>
      <c r="N304" s="500"/>
    </row>
    <row r="305" spans="1:14" ht="23.1" customHeight="1">
      <c r="A305" s="499"/>
      <c r="B305" s="500"/>
      <c r="C305" s="500"/>
      <c r="D305" s="500"/>
      <c r="E305" s="500"/>
      <c r="F305" s="500"/>
      <c r="G305" s="500"/>
      <c r="H305" s="500"/>
      <c r="I305" s="500"/>
      <c r="J305" s="500"/>
      <c r="K305" s="500"/>
      <c r="L305" s="500"/>
      <c r="M305" s="500"/>
      <c r="N305" s="500"/>
    </row>
    <row r="306" spans="1:14" ht="23.1" customHeight="1">
      <c r="A306" s="499"/>
      <c r="B306" s="500"/>
      <c r="C306" s="500"/>
      <c r="D306" s="500"/>
      <c r="E306" s="500"/>
      <c r="F306" s="500"/>
      <c r="G306" s="500"/>
      <c r="H306" s="500"/>
      <c r="I306" s="500"/>
      <c r="J306" s="500"/>
      <c r="K306" s="500"/>
      <c r="L306" s="500"/>
      <c r="M306" s="500"/>
      <c r="N306" s="500"/>
    </row>
    <row r="307" spans="1:14" ht="23.1" customHeight="1">
      <c r="A307" s="499"/>
      <c r="B307" s="500"/>
      <c r="C307" s="500"/>
      <c r="D307" s="500"/>
      <c r="E307" s="500"/>
      <c r="F307" s="500"/>
      <c r="G307" s="500"/>
      <c r="H307" s="500"/>
      <c r="I307" s="500"/>
      <c r="J307" s="500"/>
      <c r="K307" s="500"/>
      <c r="L307" s="500"/>
      <c r="M307" s="500"/>
      <c r="N307" s="500"/>
    </row>
    <row r="308" spans="1:14" ht="23.1" customHeight="1">
      <c r="A308" s="499"/>
      <c r="B308" s="500"/>
      <c r="C308" s="500"/>
      <c r="D308" s="500"/>
      <c r="E308" s="500"/>
      <c r="F308" s="500"/>
      <c r="G308" s="500"/>
      <c r="H308" s="500"/>
      <c r="I308" s="500"/>
      <c r="J308" s="500"/>
      <c r="K308" s="500"/>
      <c r="L308" s="500"/>
      <c r="M308" s="500"/>
      <c r="N308" s="500"/>
    </row>
    <row r="309" spans="1:14" ht="23.1" customHeight="1">
      <c r="A309" s="499"/>
      <c r="B309" s="500"/>
      <c r="C309" s="500"/>
      <c r="D309" s="500"/>
      <c r="E309" s="500"/>
      <c r="F309" s="500"/>
      <c r="G309" s="500"/>
      <c r="H309" s="500"/>
      <c r="I309" s="500"/>
      <c r="J309" s="500"/>
      <c r="K309" s="500"/>
      <c r="L309" s="500"/>
      <c r="M309" s="500"/>
      <c r="N309" s="500"/>
    </row>
    <row r="310" spans="1:14" ht="23.1" customHeight="1">
      <c r="A310" s="499"/>
      <c r="B310" s="500"/>
      <c r="C310" s="500"/>
      <c r="D310" s="500"/>
      <c r="E310" s="500"/>
      <c r="F310" s="500"/>
      <c r="G310" s="500"/>
      <c r="H310" s="500"/>
      <c r="I310" s="500"/>
      <c r="J310" s="500"/>
      <c r="K310" s="500"/>
      <c r="L310" s="500"/>
      <c r="M310" s="500"/>
      <c r="N310" s="500"/>
    </row>
    <row r="311" spans="1:14" ht="23.1" customHeight="1">
      <c r="A311" s="499"/>
      <c r="B311" s="500"/>
      <c r="C311" s="500"/>
      <c r="D311" s="500"/>
      <c r="E311" s="500"/>
      <c r="F311" s="500"/>
      <c r="G311" s="500"/>
      <c r="H311" s="500"/>
      <c r="I311" s="500"/>
      <c r="J311" s="500"/>
      <c r="K311" s="500"/>
      <c r="L311" s="500"/>
      <c r="M311" s="500"/>
      <c r="N311" s="500"/>
    </row>
    <row r="312" spans="1:14" ht="23.1" customHeight="1">
      <c r="A312" s="499"/>
      <c r="B312" s="500"/>
      <c r="C312" s="500"/>
      <c r="D312" s="500"/>
      <c r="E312" s="500"/>
      <c r="F312" s="500"/>
      <c r="G312" s="500"/>
      <c r="H312" s="500"/>
      <c r="I312" s="500"/>
      <c r="J312" s="500"/>
      <c r="K312" s="500"/>
      <c r="L312" s="500"/>
      <c r="M312" s="500"/>
      <c r="N312" s="500"/>
    </row>
    <row r="313" spans="1:14" ht="23.1" customHeight="1">
      <c r="A313" s="499"/>
      <c r="B313" s="500"/>
      <c r="C313" s="500"/>
      <c r="D313" s="500"/>
      <c r="E313" s="500"/>
      <c r="F313" s="500"/>
      <c r="G313" s="500"/>
      <c r="H313" s="500"/>
      <c r="I313" s="500"/>
      <c r="J313" s="500"/>
      <c r="K313" s="500"/>
      <c r="L313" s="500"/>
      <c r="M313" s="500"/>
      <c r="N313" s="500"/>
    </row>
    <row r="314" spans="1:14" ht="23.1" customHeight="1">
      <c r="A314" s="499"/>
      <c r="B314" s="500"/>
      <c r="C314" s="500"/>
      <c r="D314" s="500"/>
      <c r="E314" s="500"/>
      <c r="F314" s="500"/>
      <c r="G314" s="500"/>
      <c r="H314" s="500"/>
      <c r="I314" s="500"/>
      <c r="J314" s="500"/>
      <c r="K314" s="500"/>
      <c r="L314" s="500"/>
      <c r="M314" s="500"/>
      <c r="N314" s="500"/>
    </row>
    <row r="315" spans="1:14" ht="23.1" customHeight="1">
      <c r="A315" s="499"/>
      <c r="B315" s="500"/>
      <c r="C315" s="500"/>
      <c r="D315" s="500"/>
      <c r="E315" s="500"/>
      <c r="F315" s="500"/>
      <c r="G315" s="500"/>
      <c r="H315" s="500"/>
      <c r="I315" s="500"/>
      <c r="J315" s="500"/>
      <c r="K315" s="500"/>
      <c r="L315" s="500"/>
      <c r="M315" s="500"/>
      <c r="N315" s="500"/>
    </row>
    <row r="316" spans="1:14" ht="23.1" customHeight="1">
      <c r="A316" s="499"/>
      <c r="B316" s="500"/>
      <c r="C316" s="500"/>
      <c r="D316" s="500"/>
      <c r="E316" s="500"/>
      <c r="F316" s="500"/>
      <c r="G316" s="500"/>
      <c r="H316" s="500"/>
      <c r="I316" s="500"/>
      <c r="J316" s="500"/>
      <c r="K316" s="500"/>
      <c r="L316" s="500"/>
      <c r="M316" s="500"/>
      <c r="N316" s="500"/>
    </row>
    <row r="317" spans="1:14" ht="23.1" customHeight="1">
      <c r="A317" s="499"/>
      <c r="B317" s="500"/>
      <c r="C317" s="500"/>
      <c r="D317" s="500"/>
      <c r="E317" s="500"/>
      <c r="F317" s="500"/>
      <c r="G317" s="500"/>
      <c r="H317" s="500"/>
      <c r="I317" s="500"/>
      <c r="J317" s="500"/>
      <c r="K317" s="500"/>
      <c r="L317" s="500"/>
      <c r="M317" s="500"/>
      <c r="N317" s="500"/>
    </row>
    <row r="318" spans="1:14" ht="23.1" customHeight="1">
      <c r="A318" s="499"/>
      <c r="B318" s="500"/>
      <c r="C318" s="500"/>
      <c r="D318" s="500"/>
      <c r="E318" s="500"/>
      <c r="F318" s="500"/>
      <c r="G318" s="500"/>
      <c r="H318" s="500"/>
      <c r="I318" s="500"/>
      <c r="J318" s="500"/>
      <c r="K318" s="500"/>
      <c r="L318" s="500"/>
      <c r="M318" s="500"/>
      <c r="N318" s="500"/>
    </row>
    <row r="319" spans="1:14" ht="23.1" customHeight="1">
      <c r="A319" s="499"/>
      <c r="B319" s="500"/>
      <c r="C319" s="500"/>
      <c r="D319" s="500"/>
      <c r="E319" s="500"/>
      <c r="F319" s="500"/>
      <c r="G319" s="500"/>
      <c r="H319" s="500"/>
      <c r="I319" s="500"/>
      <c r="J319" s="500"/>
      <c r="K319" s="500"/>
      <c r="L319" s="500"/>
      <c r="M319" s="500"/>
      <c r="N319" s="500"/>
    </row>
    <row r="320" spans="1:14" ht="23.1" customHeight="1">
      <c r="A320" s="499"/>
      <c r="B320" s="500"/>
      <c r="C320" s="500"/>
      <c r="D320" s="500"/>
      <c r="E320" s="500"/>
      <c r="F320" s="500"/>
      <c r="G320" s="500"/>
      <c r="H320" s="500"/>
      <c r="I320" s="500"/>
      <c r="J320" s="500"/>
      <c r="K320" s="500"/>
      <c r="L320" s="500"/>
      <c r="M320" s="500"/>
      <c r="N320" s="500"/>
    </row>
    <row r="321" spans="1:14" ht="23.1" customHeight="1">
      <c r="A321" s="499"/>
      <c r="B321" s="500"/>
      <c r="C321" s="500"/>
      <c r="D321" s="500"/>
      <c r="E321" s="500"/>
      <c r="F321" s="500"/>
      <c r="G321" s="500"/>
      <c r="H321" s="500"/>
      <c r="I321" s="500"/>
      <c r="J321" s="500"/>
      <c r="K321" s="500"/>
      <c r="L321" s="500"/>
      <c r="M321" s="500"/>
      <c r="N321" s="500"/>
    </row>
    <row r="322" spans="1:14" ht="23.1" customHeight="1">
      <c r="A322" s="499"/>
      <c r="B322" s="500"/>
      <c r="C322" s="500"/>
      <c r="D322" s="500"/>
      <c r="E322" s="500"/>
      <c r="F322" s="500"/>
      <c r="G322" s="500"/>
      <c r="H322" s="500"/>
      <c r="I322" s="500"/>
      <c r="J322" s="500"/>
      <c r="K322" s="500"/>
      <c r="L322" s="500"/>
      <c r="M322" s="500"/>
      <c r="N322" s="500"/>
    </row>
    <row r="323" spans="1:14" ht="23.1" customHeight="1">
      <c r="A323" s="499"/>
      <c r="B323" s="500"/>
      <c r="C323" s="500"/>
      <c r="D323" s="500"/>
      <c r="E323" s="500"/>
      <c r="F323" s="500"/>
      <c r="G323" s="500"/>
      <c r="H323" s="500"/>
      <c r="I323" s="500"/>
      <c r="J323" s="500"/>
      <c r="K323" s="500"/>
      <c r="L323" s="500"/>
      <c r="M323" s="500"/>
      <c r="N323" s="500"/>
    </row>
    <row r="324" spans="1:14" ht="23.1" customHeight="1">
      <c r="A324" s="499"/>
      <c r="B324" s="500"/>
      <c r="C324" s="500"/>
      <c r="D324" s="500"/>
      <c r="E324" s="500"/>
      <c r="F324" s="500"/>
      <c r="G324" s="500"/>
      <c r="H324" s="500"/>
      <c r="I324" s="500"/>
      <c r="J324" s="500"/>
      <c r="K324" s="500"/>
      <c r="L324" s="500"/>
      <c r="M324" s="500"/>
      <c r="N324" s="500"/>
    </row>
    <row r="325" spans="1:14" ht="23.1" customHeight="1">
      <c r="A325" s="499"/>
      <c r="B325" s="500"/>
      <c r="C325" s="500"/>
      <c r="D325" s="500"/>
      <c r="E325" s="500"/>
      <c r="F325" s="500"/>
      <c r="G325" s="500"/>
      <c r="H325" s="500"/>
      <c r="I325" s="500"/>
      <c r="J325" s="500"/>
      <c r="K325" s="500"/>
      <c r="L325" s="500"/>
      <c r="M325" s="500"/>
      <c r="N325" s="500"/>
    </row>
    <row r="326" spans="1:14" ht="23.1" customHeight="1">
      <c r="A326" s="499"/>
      <c r="B326" s="500"/>
      <c r="C326" s="500"/>
      <c r="D326" s="500"/>
      <c r="E326" s="500"/>
      <c r="F326" s="500"/>
      <c r="G326" s="500"/>
      <c r="H326" s="500"/>
      <c r="I326" s="500"/>
      <c r="J326" s="500"/>
      <c r="K326" s="500"/>
      <c r="L326" s="500"/>
      <c r="M326" s="500"/>
      <c r="N326" s="500"/>
    </row>
    <row r="327" spans="1:14" ht="23.1" customHeight="1">
      <c r="A327" s="499"/>
      <c r="B327" s="500"/>
      <c r="C327" s="500"/>
      <c r="D327" s="500"/>
      <c r="E327" s="500"/>
      <c r="F327" s="500"/>
      <c r="G327" s="500"/>
      <c r="H327" s="500"/>
      <c r="I327" s="500"/>
      <c r="J327" s="500"/>
      <c r="K327" s="500"/>
      <c r="L327" s="500"/>
      <c r="M327" s="500"/>
      <c r="N327" s="500"/>
    </row>
    <row r="328" spans="1:14" ht="23.1" customHeight="1">
      <c r="A328" s="499"/>
      <c r="B328" s="500"/>
      <c r="C328" s="500"/>
      <c r="D328" s="500"/>
      <c r="E328" s="500"/>
      <c r="F328" s="500"/>
      <c r="G328" s="500"/>
      <c r="H328" s="500"/>
      <c r="I328" s="500"/>
      <c r="J328" s="500"/>
      <c r="K328" s="500"/>
      <c r="L328" s="500"/>
      <c r="M328" s="500"/>
      <c r="N328" s="500"/>
    </row>
    <row r="329" spans="1:14" ht="23.1" customHeight="1">
      <c r="A329" s="499"/>
      <c r="B329" s="500"/>
      <c r="C329" s="500"/>
      <c r="D329" s="500"/>
      <c r="E329" s="500"/>
      <c r="F329" s="500"/>
      <c r="G329" s="500"/>
      <c r="H329" s="500"/>
      <c r="I329" s="500"/>
      <c r="J329" s="500"/>
      <c r="K329" s="500"/>
      <c r="L329" s="500"/>
      <c r="M329" s="500"/>
      <c r="N329" s="500"/>
    </row>
    <row r="330" spans="1:14" ht="23.1" customHeight="1">
      <c r="A330" s="499"/>
      <c r="B330" s="500"/>
      <c r="C330" s="500"/>
      <c r="D330" s="500"/>
      <c r="E330" s="500"/>
      <c r="F330" s="500"/>
      <c r="G330" s="500"/>
      <c r="H330" s="500"/>
      <c r="I330" s="500"/>
      <c r="J330" s="500"/>
      <c r="K330" s="500"/>
      <c r="L330" s="500"/>
      <c r="M330" s="500"/>
      <c r="N330" s="500"/>
    </row>
    <row r="331" spans="1:14" ht="23.1" customHeight="1">
      <c r="A331" s="499"/>
      <c r="B331" s="500"/>
      <c r="C331" s="500"/>
      <c r="D331" s="500"/>
      <c r="E331" s="500"/>
      <c r="F331" s="500"/>
      <c r="G331" s="500"/>
      <c r="H331" s="500"/>
      <c r="I331" s="500"/>
      <c r="J331" s="500"/>
      <c r="K331" s="500"/>
      <c r="L331" s="500"/>
      <c r="M331" s="500"/>
      <c r="N331" s="500"/>
    </row>
    <row r="332" spans="1:14" ht="23.1" customHeight="1">
      <c r="A332" s="499"/>
      <c r="B332" s="500"/>
      <c r="C332" s="500"/>
      <c r="D332" s="500"/>
      <c r="E332" s="500"/>
      <c r="F332" s="500"/>
      <c r="G332" s="500"/>
      <c r="H332" s="500"/>
      <c r="I332" s="500"/>
      <c r="J332" s="500"/>
      <c r="K332" s="500"/>
      <c r="L332" s="500"/>
      <c r="M332" s="500"/>
      <c r="N332" s="500"/>
    </row>
    <row r="333" spans="1:14" ht="23.1" customHeight="1">
      <c r="A333" s="499"/>
      <c r="B333" s="500"/>
      <c r="C333" s="500"/>
      <c r="D333" s="500"/>
      <c r="E333" s="500"/>
      <c r="F333" s="500"/>
      <c r="G333" s="500"/>
      <c r="H333" s="500"/>
      <c r="I333" s="500"/>
      <c r="J333" s="500"/>
      <c r="K333" s="500"/>
      <c r="L333" s="500"/>
      <c r="M333" s="500"/>
      <c r="N333" s="500"/>
    </row>
    <row r="334" spans="1:14" ht="23.1" customHeight="1">
      <c r="A334" s="499"/>
      <c r="B334" s="500"/>
      <c r="C334" s="500"/>
      <c r="D334" s="500"/>
      <c r="E334" s="500"/>
      <c r="F334" s="500"/>
      <c r="G334" s="500"/>
      <c r="H334" s="500"/>
      <c r="I334" s="500"/>
      <c r="J334" s="500"/>
      <c r="K334" s="500"/>
      <c r="L334" s="500"/>
      <c r="M334" s="500"/>
      <c r="N334" s="500"/>
    </row>
    <row r="335" spans="1:14" ht="23.1" customHeight="1">
      <c r="A335" s="499"/>
      <c r="B335" s="500"/>
      <c r="C335" s="500"/>
      <c r="D335" s="500"/>
      <c r="E335" s="500"/>
      <c r="F335" s="500"/>
      <c r="G335" s="500"/>
      <c r="H335" s="500"/>
      <c r="I335" s="500"/>
      <c r="J335" s="500"/>
      <c r="K335" s="500"/>
      <c r="L335" s="500"/>
      <c r="M335" s="500"/>
      <c r="N335" s="500"/>
    </row>
    <row r="336" spans="1:14" ht="23.1" customHeight="1">
      <c r="A336" s="499"/>
      <c r="B336" s="500"/>
      <c r="C336" s="500"/>
      <c r="D336" s="500"/>
      <c r="E336" s="500"/>
      <c r="F336" s="500"/>
      <c r="G336" s="500"/>
      <c r="H336" s="500"/>
      <c r="I336" s="500"/>
      <c r="J336" s="500"/>
      <c r="K336" s="500"/>
      <c r="L336" s="500"/>
      <c r="M336" s="500"/>
      <c r="N336" s="500"/>
    </row>
    <row r="337" spans="1:14" ht="23.1" customHeight="1">
      <c r="A337" s="499"/>
      <c r="B337" s="500"/>
      <c r="C337" s="500"/>
      <c r="D337" s="500"/>
      <c r="E337" s="500"/>
      <c r="F337" s="500"/>
      <c r="G337" s="500"/>
      <c r="H337" s="500"/>
      <c r="I337" s="500"/>
      <c r="J337" s="500"/>
      <c r="K337" s="500"/>
      <c r="L337" s="500"/>
      <c r="M337" s="500"/>
      <c r="N337" s="500"/>
    </row>
    <row r="338" spans="1:14" ht="23.1" customHeight="1">
      <c r="A338" s="499"/>
      <c r="B338" s="500"/>
      <c r="C338" s="500"/>
      <c r="D338" s="500"/>
      <c r="E338" s="500"/>
      <c r="F338" s="500"/>
      <c r="G338" s="500"/>
      <c r="H338" s="500"/>
      <c r="I338" s="500"/>
      <c r="J338" s="500"/>
      <c r="K338" s="500"/>
      <c r="L338" s="500"/>
      <c r="M338" s="500"/>
      <c r="N338" s="500"/>
    </row>
    <row r="339" spans="1:14" ht="23.1" customHeight="1">
      <c r="A339" s="499"/>
      <c r="B339" s="500"/>
      <c r="C339" s="500"/>
      <c r="D339" s="500"/>
      <c r="E339" s="500"/>
      <c r="F339" s="500"/>
      <c r="G339" s="500"/>
      <c r="H339" s="500"/>
      <c r="I339" s="500"/>
      <c r="J339" s="500"/>
      <c r="K339" s="500"/>
      <c r="L339" s="500"/>
      <c r="M339" s="500"/>
      <c r="N339" s="500"/>
    </row>
    <row r="340" spans="1:14" ht="23.1" customHeight="1">
      <c r="A340" s="499"/>
      <c r="B340" s="500"/>
      <c r="C340" s="500"/>
      <c r="D340" s="500"/>
      <c r="E340" s="500"/>
      <c r="F340" s="500"/>
      <c r="G340" s="500"/>
      <c r="H340" s="500"/>
      <c r="I340" s="500"/>
      <c r="J340" s="500"/>
      <c r="K340" s="500"/>
      <c r="L340" s="500"/>
      <c r="M340" s="500"/>
      <c r="N340" s="500"/>
    </row>
    <row r="341" spans="1:14" ht="23.1" customHeight="1">
      <c r="A341" s="499"/>
      <c r="B341" s="500"/>
      <c r="C341" s="500"/>
      <c r="D341" s="500"/>
      <c r="E341" s="500"/>
      <c r="F341" s="500"/>
      <c r="G341" s="500"/>
      <c r="H341" s="500"/>
      <c r="I341" s="500"/>
      <c r="J341" s="500"/>
      <c r="K341" s="500"/>
      <c r="L341" s="500"/>
      <c r="M341" s="500"/>
      <c r="N341" s="500"/>
    </row>
    <row r="342" spans="1:14" ht="23.1" customHeight="1">
      <c r="A342" s="499"/>
      <c r="B342" s="500"/>
      <c r="C342" s="500"/>
      <c r="D342" s="500"/>
      <c r="E342" s="500"/>
      <c r="F342" s="500"/>
      <c r="G342" s="500"/>
      <c r="H342" s="500"/>
      <c r="I342" s="500"/>
      <c r="J342" s="500"/>
      <c r="K342" s="500"/>
      <c r="L342" s="500"/>
      <c r="M342" s="500"/>
      <c r="N342" s="500"/>
    </row>
    <row r="343" spans="1:14" ht="23.1" customHeight="1">
      <c r="A343" s="499"/>
      <c r="B343" s="500"/>
      <c r="C343" s="500"/>
      <c r="D343" s="500"/>
      <c r="E343" s="500"/>
      <c r="F343" s="500"/>
      <c r="G343" s="500"/>
      <c r="H343" s="500"/>
      <c r="I343" s="500"/>
      <c r="J343" s="500"/>
      <c r="K343" s="500"/>
      <c r="L343" s="500"/>
      <c r="M343" s="500"/>
      <c r="N343" s="500"/>
    </row>
    <row r="344" spans="1:14" ht="23.1" customHeight="1">
      <c r="A344" s="499"/>
      <c r="B344" s="500"/>
      <c r="C344" s="500"/>
      <c r="D344" s="500"/>
      <c r="E344" s="500"/>
      <c r="F344" s="500"/>
      <c r="G344" s="500"/>
      <c r="H344" s="500"/>
      <c r="I344" s="500"/>
      <c r="J344" s="500"/>
      <c r="K344" s="500"/>
      <c r="L344" s="500"/>
      <c r="M344" s="500"/>
      <c r="N344" s="500"/>
    </row>
    <row r="345" spans="1:14" ht="23.1" customHeight="1">
      <c r="A345" s="499"/>
      <c r="B345" s="500"/>
      <c r="C345" s="500"/>
      <c r="D345" s="500"/>
      <c r="E345" s="500"/>
      <c r="F345" s="500"/>
      <c r="G345" s="500"/>
      <c r="H345" s="500"/>
      <c r="I345" s="500"/>
      <c r="J345" s="500"/>
      <c r="K345" s="500"/>
      <c r="L345" s="500"/>
      <c r="M345" s="500"/>
      <c r="N345" s="500"/>
    </row>
    <row r="346" spans="1:14" ht="23.1" customHeight="1">
      <c r="A346" s="499"/>
      <c r="B346" s="500"/>
      <c r="C346" s="500"/>
      <c r="D346" s="500"/>
      <c r="E346" s="500"/>
      <c r="F346" s="500"/>
      <c r="G346" s="500"/>
      <c r="H346" s="500"/>
      <c r="I346" s="500"/>
      <c r="J346" s="500"/>
      <c r="K346" s="500"/>
      <c r="L346" s="500"/>
      <c r="M346" s="500"/>
      <c r="N346" s="500"/>
    </row>
    <row r="347" spans="1:14" ht="23.1" customHeight="1">
      <c r="A347" s="499"/>
      <c r="B347" s="500"/>
      <c r="C347" s="500"/>
      <c r="D347" s="500"/>
      <c r="E347" s="500"/>
      <c r="F347" s="500"/>
      <c r="G347" s="500"/>
      <c r="H347" s="500"/>
      <c r="I347" s="500"/>
      <c r="J347" s="500"/>
      <c r="K347" s="500"/>
      <c r="L347" s="500"/>
      <c r="M347" s="500"/>
      <c r="N347" s="500"/>
    </row>
    <row r="348" spans="1:14" ht="23.1" customHeight="1">
      <c r="A348" s="499"/>
      <c r="B348" s="500"/>
      <c r="C348" s="500"/>
      <c r="D348" s="500"/>
      <c r="E348" s="500"/>
      <c r="F348" s="500"/>
      <c r="G348" s="500"/>
      <c r="H348" s="500"/>
      <c r="I348" s="500"/>
      <c r="J348" s="500"/>
      <c r="K348" s="500"/>
      <c r="L348" s="500"/>
      <c r="M348" s="500"/>
      <c r="N348" s="500"/>
    </row>
    <row r="349" spans="1:14" ht="23.1" customHeight="1">
      <c r="A349" s="499"/>
      <c r="B349" s="500"/>
      <c r="C349" s="500"/>
      <c r="D349" s="500"/>
      <c r="E349" s="500"/>
      <c r="F349" s="500"/>
      <c r="G349" s="500"/>
      <c r="H349" s="500"/>
      <c r="I349" s="500"/>
      <c r="J349" s="500"/>
      <c r="K349" s="500"/>
      <c r="L349" s="500"/>
      <c r="M349" s="500"/>
      <c r="N349" s="500"/>
    </row>
    <row r="350" spans="1:14" ht="23.1" customHeight="1">
      <c r="A350" s="499"/>
      <c r="B350" s="500"/>
      <c r="C350" s="500"/>
      <c r="D350" s="500"/>
      <c r="E350" s="500"/>
      <c r="F350" s="500"/>
      <c r="G350" s="500"/>
      <c r="H350" s="500"/>
      <c r="I350" s="500"/>
      <c r="J350" s="500"/>
      <c r="K350" s="500"/>
      <c r="L350" s="500"/>
      <c r="M350" s="500"/>
      <c r="N350" s="500"/>
    </row>
    <row r="351" spans="1:14" ht="23.1" customHeight="1">
      <c r="A351" s="499"/>
      <c r="B351" s="500"/>
      <c r="C351" s="500"/>
      <c r="D351" s="500"/>
      <c r="E351" s="500"/>
      <c r="F351" s="500"/>
      <c r="G351" s="500"/>
      <c r="H351" s="500"/>
      <c r="I351" s="500"/>
      <c r="J351" s="500"/>
      <c r="K351" s="500"/>
      <c r="L351" s="500"/>
      <c r="M351" s="500"/>
      <c r="N351" s="500"/>
    </row>
    <row r="352" spans="1:14" ht="23.1" customHeight="1">
      <c r="A352" s="499"/>
      <c r="B352" s="500"/>
      <c r="C352" s="500"/>
      <c r="D352" s="500"/>
      <c r="E352" s="500"/>
      <c r="F352" s="500"/>
      <c r="G352" s="500"/>
      <c r="H352" s="500"/>
      <c r="I352" s="500"/>
      <c r="J352" s="500"/>
      <c r="K352" s="500"/>
      <c r="L352" s="500"/>
      <c r="M352" s="500"/>
      <c r="N352" s="500"/>
    </row>
    <row r="353" spans="1:14" ht="23.1" customHeight="1">
      <c r="A353" s="499"/>
      <c r="B353" s="500"/>
      <c r="C353" s="500"/>
      <c r="D353" s="500"/>
      <c r="E353" s="500"/>
      <c r="F353" s="500"/>
      <c r="G353" s="500"/>
      <c r="H353" s="500"/>
      <c r="I353" s="500"/>
      <c r="J353" s="500"/>
      <c r="K353" s="500"/>
      <c r="L353" s="500"/>
      <c r="M353" s="500"/>
      <c r="N353" s="500"/>
    </row>
    <row r="354" spans="1:14" ht="23.1" customHeight="1">
      <c r="A354" s="499"/>
      <c r="B354" s="500"/>
      <c r="C354" s="500"/>
      <c r="D354" s="500"/>
      <c r="E354" s="500"/>
      <c r="F354" s="500"/>
      <c r="G354" s="500"/>
      <c r="H354" s="500"/>
      <c r="I354" s="500"/>
      <c r="J354" s="500"/>
      <c r="K354" s="500"/>
      <c r="L354" s="500"/>
      <c r="M354" s="500"/>
      <c r="N354" s="500"/>
    </row>
    <row r="355" spans="1:14" ht="23.1" customHeight="1">
      <c r="A355" s="499"/>
      <c r="B355" s="500"/>
      <c r="C355" s="500"/>
      <c r="D355" s="500"/>
      <c r="E355" s="500"/>
      <c r="F355" s="500"/>
      <c r="G355" s="500"/>
      <c r="H355" s="500"/>
      <c r="I355" s="500"/>
      <c r="J355" s="500"/>
      <c r="K355" s="500"/>
      <c r="L355" s="500"/>
      <c r="M355" s="500"/>
      <c r="N355" s="500"/>
    </row>
    <row r="356" spans="1:14" ht="23.1" customHeight="1">
      <c r="A356" s="499"/>
      <c r="B356" s="500"/>
      <c r="C356" s="500"/>
      <c r="D356" s="500"/>
      <c r="E356" s="500"/>
      <c r="F356" s="500"/>
      <c r="G356" s="500"/>
      <c r="H356" s="500"/>
      <c r="I356" s="500"/>
      <c r="J356" s="500"/>
      <c r="K356" s="500"/>
      <c r="L356" s="500"/>
      <c r="M356" s="500"/>
      <c r="N356" s="500"/>
    </row>
    <row r="357" spans="1:14" ht="23.1" customHeight="1">
      <c r="A357" s="499"/>
      <c r="B357" s="500"/>
      <c r="C357" s="500"/>
      <c r="D357" s="500"/>
      <c r="E357" s="500"/>
      <c r="F357" s="500"/>
      <c r="G357" s="500"/>
      <c r="H357" s="500"/>
      <c r="I357" s="500"/>
      <c r="J357" s="500"/>
      <c r="K357" s="500"/>
      <c r="L357" s="500"/>
      <c r="M357" s="500"/>
      <c r="N357" s="500"/>
    </row>
    <row r="358" spans="1:14" ht="23.1" customHeight="1">
      <c r="A358" s="499"/>
      <c r="B358" s="500"/>
      <c r="C358" s="500"/>
      <c r="D358" s="500"/>
      <c r="E358" s="500"/>
      <c r="F358" s="500"/>
      <c r="G358" s="500"/>
      <c r="H358" s="500"/>
      <c r="I358" s="500"/>
      <c r="J358" s="500"/>
      <c r="K358" s="500"/>
      <c r="L358" s="500"/>
      <c r="M358" s="500"/>
      <c r="N358" s="500"/>
    </row>
    <row r="359" spans="1:14" ht="23.1" customHeight="1">
      <c r="A359" s="499"/>
      <c r="B359" s="500"/>
      <c r="C359" s="500"/>
      <c r="D359" s="500"/>
      <c r="E359" s="500"/>
      <c r="F359" s="500"/>
      <c r="G359" s="500"/>
      <c r="H359" s="500"/>
      <c r="I359" s="500"/>
      <c r="J359" s="500"/>
      <c r="K359" s="500"/>
      <c r="L359" s="500"/>
      <c r="M359" s="500"/>
      <c r="N359" s="500"/>
    </row>
    <row r="360" spans="1:14" ht="23.1" customHeight="1">
      <c r="A360" s="499"/>
      <c r="B360" s="500"/>
      <c r="C360" s="500"/>
      <c r="D360" s="500"/>
      <c r="E360" s="500"/>
      <c r="F360" s="500"/>
      <c r="G360" s="500"/>
      <c r="H360" s="500"/>
      <c r="I360" s="500"/>
      <c r="J360" s="500"/>
      <c r="K360" s="500"/>
      <c r="L360" s="500"/>
      <c r="M360" s="500"/>
      <c r="N360" s="500"/>
    </row>
    <row r="361" spans="1:14" ht="23.1" customHeight="1">
      <c r="A361" s="499"/>
      <c r="B361" s="500"/>
      <c r="C361" s="500"/>
      <c r="D361" s="500"/>
      <c r="E361" s="500"/>
      <c r="F361" s="500"/>
      <c r="G361" s="500"/>
      <c r="H361" s="500"/>
      <c r="I361" s="500"/>
      <c r="J361" s="500"/>
      <c r="K361" s="500"/>
      <c r="L361" s="500"/>
      <c r="M361" s="500"/>
      <c r="N361" s="500"/>
    </row>
    <row r="362" spans="1:14" ht="23.1" customHeight="1">
      <c r="A362" s="499"/>
      <c r="B362" s="500"/>
      <c r="C362" s="500"/>
      <c r="D362" s="500"/>
      <c r="E362" s="500"/>
      <c r="F362" s="500"/>
      <c r="G362" s="500"/>
      <c r="H362" s="500"/>
      <c r="I362" s="500"/>
      <c r="J362" s="500"/>
      <c r="K362" s="500"/>
      <c r="L362" s="500"/>
      <c r="M362" s="500"/>
      <c r="N362" s="500"/>
    </row>
    <row r="363" spans="1:14" ht="23.1" customHeight="1">
      <c r="A363" s="499"/>
      <c r="B363" s="500"/>
      <c r="C363" s="500"/>
      <c r="D363" s="500"/>
      <c r="E363" s="500"/>
      <c r="F363" s="500"/>
      <c r="G363" s="500"/>
      <c r="H363" s="500"/>
      <c r="I363" s="500"/>
      <c r="J363" s="500"/>
      <c r="K363" s="500"/>
      <c r="L363" s="500"/>
      <c r="M363" s="500"/>
      <c r="N363" s="500"/>
    </row>
    <row r="364" spans="1:14" ht="23.1" customHeight="1">
      <c r="A364" s="499"/>
      <c r="B364" s="500"/>
      <c r="C364" s="500"/>
      <c r="D364" s="500"/>
      <c r="E364" s="500"/>
      <c r="F364" s="500"/>
      <c r="G364" s="500"/>
      <c r="H364" s="500"/>
      <c r="I364" s="500"/>
      <c r="J364" s="500"/>
      <c r="K364" s="500"/>
      <c r="L364" s="500"/>
      <c r="M364" s="500"/>
      <c r="N364" s="500"/>
    </row>
    <row r="365" spans="1:14" ht="23.1" customHeight="1">
      <c r="A365" s="499"/>
      <c r="B365" s="500"/>
      <c r="C365" s="500"/>
      <c r="D365" s="500"/>
      <c r="E365" s="500"/>
      <c r="F365" s="500"/>
      <c r="G365" s="500"/>
      <c r="H365" s="500"/>
      <c r="I365" s="500"/>
      <c r="J365" s="500"/>
      <c r="K365" s="500"/>
      <c r="L365" s="500"/>
      <c r="M365" s="500"/>
      <c r="N365" s="500"/>
    </row>
    <row r="366" spans="1:14" ht="23.1" customHeight="1">
      <c r="A366" s="499"/>
      <c r="B366" s="500"/>
      <c r="C366" s="500"/>
      <c r="D366" s="500"/>
      <c r="E366" s="500"/>
      <c r="F366" s="500"/>
      <c r="G366" s="500"/>
      <c r="H366" s="500"/>
      <c r="I366" s="500"/>
      <c r="J366" s="500"/>
      <c r="K366" s="500"/>
      <c r="L366" s="500"/>
      <c r="M366" s="500"/>
      <c r="N366" s="500"/>
    </row>
    <row r="367" spans="1:14" ht="23.1" customHeight="1">
      <c r="A367" s="499"/>
      <c r="B367" s="500"/>
      <c r="C367" s="500"/>
      <c r="D367" s="500"/>
      <c r="E367" s="500"/>
      <c r="F367" s="500"/>
      <c r="G367" s="500"/>
      <c r="H367" s="500"/>
      <c r="I367" s="500"/>
      <c r="J367" s="500"/>
      <c r="K367" s="500"/>
      <c r="L367" s="500"/>
      <c r="M367" s="500"/>
      <c r="N367" s="500"/>
    </row>
    <row r="368" spans="1:14" ht="23.1" customHeight="1">
      <c r="A368" s="499"/>
      <c r="B368" s="500"/>
      <c r="C368" s="500"/>
      <c r="D368" s="500"/>
      <c r="E368" s="500"/>
      <c r="F368" s="500"/>
      <c r="G368" s="500"/>
      <c r="H368" s="500"/>
      <c r="I368" s="500"/>
      <c r="J368" s="500"/>
      <c r="K368" s="500"/>
      <c r="L368" s="500"/>
      <c r="M368" s="500"/>
      <c r="N368" s="500"/>
    </row>
    <row r="369" spans="1:14" ht="23.1" customHeight="1">
      <c r="A369" s="499"/>
      <c r="B369" s="500"/>
      <c r="C369" s="500"/>
      <c r="D369" s="500"/>
      <c r="E369" s="500"/>
      <c r="F369" s="500"/>
      <c r="G369" s="500"/>
      <c r="H369" s="500"/>
      <c r="I369" s="500"/>
      <c r="J369" s="500"/>
      <c r="K369" s="500"/>
      <c r="L369" s="500"/>
      <c r="M369" s="500"/>
      <c r="N369" s="500"/>
    </row>
    <row r="370" spans="1:14" ht="23.1" customHeight="1">
      <c r="A370" s="499"/>
      <c r="B370" s="500"/>
      <c r="C370" s="500"/>
      <c r="D370" s="500"/>
      <c r="E370" s="500"/>
      <c r="F370" s="500"/>
      <c r="G370" s="500"/>
      <c r="H370" s="500"/>
      <c r="I370" s="500"/>
      <c r="J370" s="500"/>
      <c r="K370" s="500"/>
      <c r="L370" s="500"/>
      <c r="M370" s="500"/>
      <c r="N370" s="500"/>
    </row>
    <row r="371" spans="1:14" ht="23.1" customHeight="1">
      <c r="A371" s="499"/>
      <c r="B371" s="500"/>
      <c r="C371" s="500"/>
      <c r="D371" s="500"/>
      <c r="E371" s="500"/>
      <c r="F371" s="500"/>
      <c r="G371" s="500"/>
      <c r="H371" s="500"/>
      <c r="I371" s="500"/>
      <c r="J371" s="500"/>
      <c r="K371" s="500"/>
      <c r="L371" s="500"/>
      <c r="M371" s="500"/>
      <c r="N371" s="500"/>
    </row>
    <row r="372" spans="1:14" ht="23.1" customHeight="1">
      <c r="A372" s="499"/>
      <c r="B372" s="500"/>
      <c r="C372" s="500"/>
      <c r="D372" s="500"/>
      <c r="E372" s="500"/>
      <c r="F372" s="500"/>
      <c r="G372" s="500"/>
      <c r="H372" s="500"/>
      <c r="I372" s="500"/>
      <c r="J372" s="500"/>
      <c r="K372" s="500"/>
      <c r="L372" s="500"/>
      <c r="M372" s="500"/>
      <c r="N372" s="500"/>
    </row>
    <row r="373" spans="1:14" ht="23.1" customHeight="1">
      <c r="A373" s="499"/>
      <c r="B373" s="500"/>
      <c r="C373" s="500"/>
      <c r="D373" s="500"/>
      <c r="E373" s="500"/>
      <c r="F373" s="500"/>
      <c r="G373" s="500"/>
      <c r="H373" s="500"/>
      <c r="I373" s="500"/>
      <c r="J373" s="500"/>
      <c r="K373" s="500"/>
      <c r="L373" s="500"/>
      <c r="M373" s="500"/>
      <c r="N373" s="500"/>
    </row>
    <row r="374" spans="1:14" ht="23.1" customHeight="1">
      <c r="A374" s="499"/>
      <c r="B374" s="500"/>
      <c r="C374" s="500"/>
      <c r="D374" s="500"/>
      <c r="E374" s="500"/>
      <c r="F374" s="500"/>
      <c r="G374" s="500"/>
      <c r="H374" s="500"/>
      <c r="I374" s="500"/>
      <c r="J374" s="500"/>
      <c r="K374" s="500"/>
      <c r="L374" s="500"/>
      <c r="M374" s="500"/>
      <c r="N374" s="500"/>
    </row>
    <row r="375" spans="1:14" ht="23.1" customHeight="1">
      <c r="A375" s="499"/>
      <c r="B375" s="500"/>
      <c r="C375" s="500"/>
      <c r="D375" s="500"/>
      <c r="E375" s="500"/>
      <c r="F375" s="500"/>
      <c r="G375" s="500"/>
      <c r="H375" s="500"/>
      <c r="I375" s="500"/>
      <c r="J375" s="500"/>
      <c r="K375" s="500"/>
      <c r="L375" s="500"/>
      <c r="M375" s="500"/>
      <c r="N375" s="500"/>
    </row>
    <row r="376" spans="1:14" ht="23.1" customHeight="1">
      <c r="A376" s="499"/>
      <c r="B376" s="500"/>
      <c r="C376" s="500"/>
      <c r="D376" s="500"/>
      <c r="E376" s="500"/>
      <c r="F376" s="500"/>
      <c r="G376" s="500"/>
      <c r="H376" s="500"/>
      <c r="I376" s="500"/>
      <c r="J376" s="500"/>
      <c r="K376" s="500"/>
      <c r="L376" s="500"/>
      <c r="M376" s="500"/>
      <c r="N376" s="500"/>
    </row>
    <row r="377" spans="1:14" ht="23.1" customHeight="1">
      <c r="A377" s="499"/>
      <c r="B377" s="500"/>
      <c r="C377" s="500"/>
      <c r="D377" s="500"/>
      <c r="E377" s="500"/>
      <c r="F377" s="500"/>
      <c r="G377" s="500"/>
      <c r="H377" s="500"/>
      <c r="I377" s="500"/>
      <c r="J377" s="500"/>
      <c r="K377" s="500"/>
      <c r="L377" s="500"/>
      <c r="M377" s="500"/>
      <c r="N377" s="500"/>
    </row>
    <row r="378" spans="1:14" ht="23.1" customHeight="1">
      <c r="A378" s="499"/>
      <c r="B378" s="500"/>
      <c r="C378" s="500"/>
      <c r="D378" s="500"/>
      <c r="E378" s="500"/>
      <c r="F378" s="500"/>
      <c r="G378" s="500"/>
      <c r="H378" s="500"/>
      <c r="I378" s="500"/>
      <c r="J378" s="500"/>
      <c r="K378" s="500"/>
      <c r="L378" s="500"/>
      <c r="M378" s="500"/>
      <c r="N378" s="500"/>
    </row>
    <row r="379" spans="1:14" ht="23.1" customHeight="1">
      <c r="A379" s="499"/>
      <c r="B379" s="500"/>
      <c r="C379" s="500"/>
      <c r="D379" s="500"/>
      <c r="E379" s="500"/>
      <c r="F379" s="500"/>
      <c r="G379" s="500"/>
      <c r="H379" s="500"/>
      <c r="I379" s="500"/>
      <c r="J379" s="500"/>
      <c r="K379" s="500"/>
      <c r="L379" s="500"/>
      <c r="M379" s="500"/>
      <c r="N379" s="500"/>
    </row>
    <row r="380" spans="1:14" ht="23.1" customHeight="1">
      <c r="A380" s="499"/>
      <c r="B380" s="500"/>
      <c r="C380" s="500"/>
      <c r="D380" s="500"/>
      <c r="E380" s="500"/>
      <c r="F380" s="500"/>
      <c r="G380" s="500"/>
      <c r="H380" s="500"/>
      <c r="I380" s="500"/>
      <c r="J380" s="500"/>
      <c r="K380" s="500"/>
      <c r="L380" s="500"/>
      <c r="M380" s="500"/>
      <c r="N380" s="500"/>
    </row>
    <row r="381" spans="1:14" ht="23.1" customHeight="1">
      <c r="A381" s="499"/>
      <c r="B381" s="500"/>
      <c r="C381" s="500"/>
      <c r="D381" s="500"/>
      <c r="E381" s="500"/>
      <c r="F381" s="500"/>
      <c r="G381" s="500"/>
      <c r="H381" s="500"/>
      <c r="I381" s="500"/>
      <c r="J381" s="500"/>
      <c r="K381" s="500"/>
      <c r="L381" s="500"/>
      <c r="M381" s="500"/>
      <c r="N381" s="500"/>
    </row>
    <row r="382" spans="1:14" ht="23.1" customHeight="1">
      <c r="A382" s="499"/>
      <c r="B382" s="500"/>
      <c r="C382" s="500"/>
      <c r="D382" s="500"/>
      <c r="E382" s="500"/>
      <c r="F382" s="500"/>
      <c r="G382" s="500"/>
      <c r="H382" s="500"/>
      <c r="I382" s="500"/>
      <c r="J382" s="500"/>
      <c r="K382" s="500"/>
      <c r="L382" s="500"/>
      <c r="M382" s="500"/>
      <c r="N382" s="500"/>
    </row>
    <row r="383" spans="1:14" ht="23.1" customHeight="1">
      <c r="A383" s="499"/>
      <c r="B383" s="500"/>
      <c r="C383" s="500"/>
      <c r="D383" s="500"/>
      <c r="E383" s="500"/>
      <c r="F383" s="500"/>
      <c r="G383" s="500"/>
      <c r="H383" s="500"/>
      <c r="I383" s="500"/>
      <c r="J383" s="500"/>
      <c r="K383" s="500"/>
      <c r="L383" s="500"/>
      <c r="M383" s="500"/>
      <c r="N383" s="500"/>
    </row>
    <row r="384" spans="1:14" ht="23.1" customHeight="1">
      <c r="A384" s="499"/>
      <c r="B384" s="500"/>
      <c r="C384" s="500"/>
      <c r="D384" s="500"/>
      <c r="E384" s="500"/>
      <c r="F384" s="500"/>
      <c r="G384" s="500"/>
      <c r="H384" s="500"/>
      <c r="I384" s="500"/>
      <c r="J384" s="500"/>
      <c r="K384" s="500"/>
      <c r="L384" s="500"/>
      <c r="M384" s="500"/>
      <c r="N384" s="500"/>
    </row>
    <row r="385" spans="1:14" ht="23.1" customHeight="1">
      <c r="A385" s="499"/>
      <c r="B385" s="500"/>
      <c r="C385" s="500"/>
      <c r="D385" s="500"/>
      <c r="E385" s="500"/>
      <c r="F385" s="500"/>
      <c r="G385" s="500"/>
      <c r="H385" s="500"/>
      <c r="I385" s="500"/>
      <c r="J385" s="500"/>
      <c r="K385" s="500"/>
      <c r="L385" s="500"/>
      <c r="M385" s="500"/>
      <c r="N385" s="500"/>
    </row>
    <row r="386" spans="1:14" ht="23.1" customHeight="1">
      <c r="A386" s="499"/>
      <c r="B386" s="500"/>
      <c r="C386" s="500"/>
      <c r="D386" s="500"/>
      <c r="E386" s="500"/>
      <c r="F386" s="500"/>
      <c r="G386" s="500"/>
      <c r="H386" s="500"/>
      <c r="I386" s="500"/>
      <c r="J386" s="500"/>
      <c r="K386" s="500"/>
      <c r="L386" s="500"/>
      <c r="M386" s="500"/>
      <c r="N386" s="500"/>
    </row>
    <row r="387" spans="1:14" ht="23.1" customHeight="1">
      <c r="A387" s="499"/>
      <c r="B387" s="500"/>
      <c r="C387" s="500"/>
      <c r="D387" s="500"/>
      <c r="E387" s="500"/>
      <c r="F387" s="500"/>
      <c r="G387" s="500"/>
      <c r="H387" s="500"/>
      <c r="I387" s="500"/>
      <c r="J387" s="500"/>
      <c r="K387" s="500"/>
      <c r="L387" s="500"/>
      <c r="M387" s="500"/>
      <c r="N387" s="500"/>
    </row>
    <row r="388" spans="1:14" ht="23.1" customHeight="1">
      <c r="A388" s="499"/>
      <c r="B388" s="500"/>
      <c r="C388" s="500"/>
      <c r="D388" s="500"/>
      <c r="E388" s="500"/>
      <c r="F388" s="500"/>
      <c r="G388" s="500"/>
      <c r="H388" s="500"/>
      <c r="I388" s="500"/>
      <c r="J388" s="500"/>
      <c r="K388" s="500"/>
      <c r="L388" s="500"/>
      <c r="M388" s="500"/>
      <c r="N388" s="500"/>
    </row>
    <row r="389" spans="1:14" ht="23.1" customHeight="1">
      <c r="A389" s="499"/>
      <c r="B389" s="500"/>
      <c r="C389" s="500"/>
      <c r="D389" s="500"/>
      <c r="E389" s="500"/>
      <c r="F389" s="500"/>
      <c r="G389" s="500"/>
      <c r="H389" s="500"/>
      <c r="I389" s="500"/>
      <c r="J389" s="500"/>
      <c r="K389" s="500"/>
      <c r="L389" s="500"/>
      <c r="M389" s="500"/>
      <c r="N389" s="500"/>
    </row>
    <row r="390" spans="1:14" ht="23.1" customHeight="1">
      <c r="A390" s="499"/>
      <c r="B390" s="500"/>
      <c r="C390" s="500"/>
      <c r="D390" s="500"/>
      <c r="E390" s="500"/>
      <c r="F390" s="500"/>
      <c r="G390" s="500"/>
      <c r="H390" s="500"/>
      <c r="I390" s="500"/>
      <c r="J390" s="500"/>
      <c r="K390" s="500"/>
      <c r="L390" s="500"/>
      <c r="M390" s="500"/>
      <c r="N390" s="500"/>
    </row>
    <row r="391" spans="1:14" ht="23.1" customHeight="1">
      <c r="A391" s="499"/>
      <c r="B391" s="500"/>
      <c r="C391" s="500"/>
      <c r="D391" s="500"/>
      <c r="E391" s="500"/>
      <c r="F391" s="500"/>
      <c r="G391" s="500"/>
      <c r="H391" s="500"/>
      <c r="I391" s="500"/>
      <c r="J391" s="500"/>
      <c r="K391" s="500"/>
      <c r="L391" s="500"/>
      <c r="M391" s="500"/>
      <c r="N391" s="500"/>
    </row>
    <row r="392" spans="1:14" ht="23.1" customHeight="1">
      <c r="A392" s="499"/>
      <c r="B392" s="500"/>
      <c r="C392" s="500"/>
      <c r="D392" s="500"/>
      <c r="E392" s="500"/>
      <c r="F392" s="500"/>
      <c r="G392" s="500"/>
      <c r="H392" s="500"/>
      <c r="I392" s="500"/>
      <c r="J392" s="500"/>
      <c r="K392" s="500"/>
      <c r="L392" s="500"/>
      <c r="M392" s="500"/>
      <c r="N392" s="500"/>
    </row>
    <row r="393" spans="1:14" ht="23.1" customHeight="1">
      <c r="A393" s="499"/>
      <c r="B393" s="500"/>
      <c r="C393" s="500"/>
      <c r="D393" s="500"/>
      <c r="E393" s="500"/>
      <c r="F393" s="500"/>
      <c r="G393" s="500"/>
      <c r="H393" s="500"/>
      <c r="I393" s="500"/>
      <c r="J393" s="500"/>
      <c r="K393" s="500"/>
      <c r="L393" s="500"/>
      <c r="M393" s="500"/>
      <c r="N393" s="500"/>
    </row>
    <row r="394" spans="1:14" ht="23.1" customHeight="1">
      <c r="A394" s="499"/>
      <c r="B394" s="500"/>
      <c r="C394" s="500"/>
      <c r="D394" s="500"/>
      <c r="E394" s="500"/>
      <c r="F394" s="500"/>
      <c r="G394" s="500"/>
      <c r="H394" s="500"/>
      <c r="I394" s="500"/>
      <c r="J394" s="500"/>
      <c r="K394" s="500"/>
      <c r="L394" s="500"/>
      <c r="M394" s="500"/>
      <c r="N394" s="500"/>
    </row>
    <row r="395" spans="1:14" ht="23.1" customHeight="1">
      <c r="A395" s="499"/>
      <c r="B395" s="500"/>
      <c r="C395" s="500"/>
      <c r="D395" s="500"/>
      <c r="E395" s="500"/>
      <c r="F395" s="500"/>
      <c r="G395" s="500"/>
      <c r="H395" s="500"/>
      <c r="I395" s="500"/>
      <c r="J395" s="500"/>
      <c r="K395" s="500"/>
      <c r="L395" s="500"/>
      <c r="M395" s="500"/>
      <c r="N395" s="500"/>
    </row>
    <row r="396" spans="1:14" ht="23.1" customHeight="1">
      <c r="A396" s="499"/>
      <c r="B396" s="500"/>
      <c r="C396" s="500"/>
      <c r="D396" s="500"/>
      <c r="E396" s="500"/>
      <c r="F396" s="500"/>
      <c r="G396" s="500"/>
      <c r="H396" s="500"/>
      <c r="I396" s="500"/>
      <c r="J396" s="500"/>
      <c r="K396" s="500"/>
      <c r="L396" s="500"/>
      <c r="M396" s="500"/>
      <c r="N396" s="500"/>
    </row>
    <row r="397" spans="1:14" ht="23.1" customHeight="1">
      <c r="A397" s="499"/>
      <c r="B397" s="500"/>
      <c r="C397" s="500"/>
      <c r="D397" s="500"/>
      <c r="E397" s="500"/>
      <c r="F397" s="500"/>
      <c r="G397" s="500"/>
      <c r="H397" s="500"/>
      <c r="I397" s="500"/>
      <c r="J397" s="500"/>
      <c r="K397" s="500"/>
      <c r="L397" s="500"/>
      <c r="M397" s="500"/>
      <c r="N397" s="500"/>
    </row>
    <row r="398" spans="1:14" ht="23.1" customHeight="1">
      <c r="A398" s="499"/>
      <c r="B398" s="500"/>
      <c r="C398" s="500"/>
      <c r="D398" s="500"/>
      <c r="E398" s="500"/>
      <c r="F398" s="500"/>
      <c r="G398" s="500"/>
      <c r="H398" s="500"/>
      <c r="I398" s="500"/>
      <c r="J398" s="500"/>
      <c r="K398" s="500"/>
      <c r="L398" s="500"/>
      <c r="M398" s="500"/>
      <c r="N398" s="500"/>
    </row>
    <row r="399" spans="1:14" ht="23.1" customHeight="1">
      <c r="A399" s="499"/>
      <c r="B399" s="500"/>
      <c r="C399" s="500"/>
      <c r="D399" s="500"/>
      <c r="E399" s="500"/>
      <c r="F399" s="500"/>
      <c r="G399" s="500"/>
      <c r="H399" s="500"/>
      <c r="I399" s="500"/>
      <c r="J399" s="500"/>
      <c r="K399" s="500"/>
      <c r="L399" s="500"/>
      <c r="M399" s="500"/>
      <c r="N399" s="500"/>
    </row>
    <row r="400" spans="1:14" ht="23.1" customHeight="1">
      <c r="A400" s="499"/>
      <c r="B400" s="500"/>
      <c r="C400" s="500"/>
      <c r="D400" s="500"/>
      <c r="E400" s="500"/>
      <c r="F400" s="500"/>
      <c r="G400" s="500"/>
      <c r="H400" s="500"/>
      <c r="I400" s="500"/>
      <c r="J400" s="500"/>
      <c r="K400" s="500"/>
      <c r="L400" s="500"/>
      <c r="M400" s="500"/>
      <c r="N400" s="500"/>
    </row>
    <row r="401" spans="1:14" ht="23.1" customHeight="1">
      <c r="A401" s="499"/>
      <c r="B401" s="500"/>
      <c r="C401" s="500"/>
      <c r="D401" s="500"/>
      <c r="E401" s="500"/>
      <c r="F401" s="500"/>
      <c r="G401" s="500"/>
      <c r="H401" s="500"/>
      <c r="I401" s="500"/>
      <c r="J401" s="500"/>
      <c r="K401" s="500"/>
      <c r="L401" s="500"/>
      <c r="M401" s="500"/>
      <c r="N401" s="500"/>
    </row>
    <row r="402" spans="1:14" ht="23.1" customHeight="1">
      <c r="A402" s="499"/>
      <c r="B402" s="500"/>
      <c r="C402" s="500"/>
      <c r="D402" s="500"/>
      <c r="E402" s="500"/>
      <c r="F402" s="500"/>
      <c r="G402" s="500"/>
      <c r="H402" s="500"/>
      <c r="I402" s="500"/>
      <c r="J402" s="500"/>
      <c r="K402" s="500"/>
      <c r="L402" s="500"/>
      <c r="M402" s="500"/>
      <c r="N402" s="500"/>
    </row>
    <row r="403" spans="1:14" ht="23.1" customHeight="1">
      <c r="A403" s="499"/>
      <c r="B403" s="500"/>
      <c r="C403" s="500"/>
      <c r="D403" s="500"/>
      <c r="E403" s="500"/>
      <c r="F403" s="500"/>
      <c r="G403" s="500"/>
      <c r="H403" s="500"/>
      <c r="I403" s="500"/>
      <c r="J403" s="500"/>
      <c r="K403" s="500"/>
      <c r="L403" s="500"/>
      <c r="M403" s="500"/>
      <c r="N403" s="500"/>
    </row>
    <row r="404" spans="1:14" ht="23.1" customHeight="1">
      <c r="A404" s="499"/>
      <c r="B404" s="500"/>
      <c r="C404" s="500"/>
      <c r="D404" s="500"/>
      <c r="E404" s="500"/>
      <c r="F404" s="500"/>
      <c r="G404" s="500"/>
      <c r="H404" s="500"/>
      <c r="I404" s="500"/>
      <c r="J404" s="500"/>
      <c r="K404" s="500"/>
      <c r="L404" s="500"/>
      <c r="M404" s="500"/>
      <c r="N404" s="500"/>
    </row>
    <row r="405" spans="1:14" ht="23.1" customHeight="1">
      <c r="A405" s="499"/>
      <c r="B405" s="500"/>
      <c r="C405" s="500"/>
      <c r="D405" s="500"/>
      <c r="E405" s="500"/>
      <c r="F405" s="500"/>
      <c r="G405" s="500"/>
      <c r="H405" s="500"/>
      <c r="I405" s="500"/>
      <c r="J405" s="500"/>
      <c r="K405" s="500"/>
      <c r="L405" s="500"/>
      <c r="M405" s="500"/>
      <c r="N405" s="500"/>
    </row>
    <row r="406" spans="1:14" ht="23.1" customHeight="1">
      <c r="A406" s="499"/>
      <c r="B406" s="500"/>
      <c r="C406" s="500"/>
      <c r="D406" s="500"/>
      <c r="E406" s="500"/>
      <c r="F406" s="500"/>
      <c r="G406" s="500"/>
      <c r="H406" s="500"/>
      <c r="I406" s="500"/>
      <c r="J406" s="500"/>
      <c r="K406" s="500"/>
      <c r="L406" s="500"/>
      <c r="M406" s="500"/>
      <c r="N406" s="500"/>
    </row>
    <row r="407" spans="1:14" ht="23.1" customHeight="1">
      <c r="A407" s="499"/>
      <c r="B407" s="500"/>
      <c r="C407" s="500"/>
      <c r="D407" s="500"/>
      <c r="E407" s="500"/>
      <c r="F407" s="500"/>
      <c r="G407" s="500"/>
      <c r="H407" s="500"/>
      <c r="I407" s="500"/>
      <c r="J407" s="500"/>
      <c r="K407" s="500"/>
      <c r="L407" s="500"/>
      <c r="M407" s="500"/>
      <c r="N407" s="500"/>
    </row>
    <row r="408" spans="1:14" ht="23.1" customHeight="1">
      <c r="A408" s="499"/>
      <c r="B408" s="500"/>
      <c r="C408" s="500"/>
      <c r="D408" s="500"/>
      <c r="E408" s="500"/>
      <c r="F408" s="500"/>
      <c r="G408" s="500"/>
      <c r="H408" s="500"/>
      <c r="I408" s="500"/>
      <c r="J408" s="500"/>
      <c r="K408" s="500"/>
      <c r="L408" s="500"/>
      <c r="M408" s="500"/>
      <c r="N408" s="500"/>
    </row>
    <row r="409" spans="1:14" ht="23.1" customHeight="1">
      <c r="A409" s="499"/>
      <c r="B409" s="500"/>
      <c r="C409" s="500"/>
      <c r="D409" s="500"/>
      <c r="E409" s="500"/>
      <c r="F409" s="500"/>
      <c r="G409" s="500"/>
      <c r="H409" s="500"/>
      <c r="I409" s="500"/>
      <c r="J409" s="500"/>
      <c r="K409" s="500"/>
      <c r="L409" s="500"/>
      <c r="M409" s="500"/>
      <c r="N409" s="500"/>
    </row>
    <row r="410" spans="1:14" ht="23.1" customHeight="1">
      <c r="A410" s="499"/>
      <c r="B410" s="500"/>
      <c r="C410" s="500"/>
      <c r="D410" s="500"/>
      <c r="E410" s="500"/>
      <c r="F410" s="500"/>
      <c r="G410" s="500"/>
      <c r="H410" s="500"/>
      <c r="I410" s="500"/>
      <c r="J410" s="500"/>
      <c r="K410" s="500"/>
      <c r="L410" s="500"/>
      <c r="M410" s="500"/>
      <c r="N410" s="500"/>
    </row>
    <row r="411" spans="1:14" ht="23.1" customHeight="1">
      <c r="A411" s="499"/>
      <c r="B411" s="500"/>
      <c r="C411" s="500"/>
      <c r="D411" s="500"/>
      <c r="E411" s="500"/>
      <c r="F411" s="500"/>
      <c r="G411" s="500"/>
      <c r="H411" s="500"/>
      <c r="I411" s="500"/>
      <c r="J411" s="500"/>
      <c r="K411" s="500"/>
      <c r="L411" s="500"/>
      <c r="M411" s="500"/>
      <c r="N411" s="500"/>
    </row>
    <row r="412" spans="1:14" ht="23.1" customHeight="1">
      <c r="A412" s="499"/>
      <c r="B412" s="500"/>
      <c r="C412" s="500"/>
      <c r="D412" s="500"/>
      <c r="E412" s="500"/>
      <c r="F412" s="500"/>
      <c r="G412" s="500"/>
      <c r="H412" s="500"/>
      <c r="I412" s="500"/>
      <c r="J412" s="500"/>
      <c r="K412" s="500"/>
      <c r="L412" s="500"/>
      <c r="M412" s="500"/>
      <c r="N412" s="500"/>
    </row>
    <row r="413" spans="1:14" ht="23.1" customHeight="1">
      <c r="A413" s="499"/>
      <c r="B413" s="500"/>
      <c r="C413" s="500"/>
      <c r="D413" s="500"/>
      <c r="E413" s="500"/>
      <c r="F413" s="500"/>
      <c r="G413" s="500"/>
      <c r="H413" s="500"/>
      <c r="I413" s="500"/>
      <c r="J413" s="500"/>
      <c r="K413" s="500"/>
      <c r="L413" s="500"/>
      <c r="M413" s="500"/>
      <c r="N413" s="500"/>
    </row>
    <row r="414" spans="1:14" ht="23.1" customHeight="1">
      <c r="A414" s="499"/>
      <c r="B414" s="500"/>
      <c r="C414" s="500"/>
      <c r="D414" s="500"/>
      <c r="E414" s="500"/>
      <c r="F414" s="500"/>
      <c r="G414" s="500"/>
      <c r="H414" s="500"/>
      <c r="I414" s="500"/>
      <c r="J414" s="500"/>
      <c r="K414" s="500"/>
      <c r="L414" s="500"/>
      <c r="M414" s="500"/>
      <c r="N414" s="500"/>
    </row>
    <row r="415" spans="1:14" ht="23.1" customHeight="1">
      <c r="A415" s="499"/>
      <c r="B415" s="500"/>
      <c r="C415" s="500"/>
      <c r="D415" s="500"/>
      <c r="E415" s="500"/>
      <c r="F415" s="500"/>
      <c r="G415" s="500"/>
      <c r="H415" s="500"/>
      <c r="I415" s="500"/>
      <c r="J415" s="500"/>
      <c r="K415" s="500"/>
      <c r="L415" s="500"/>
      <c r="M415" s="500"/>
      <c r="N415" s="500"/>
    </row>
    <row r="416" spans="1:14" ht="23.1" customHeight="1">
      <c r="A416" s="499"/>
      <c r="B416" s="500"/>
      <c r="C416" s="500"/>
      <c r="D416" s="500"/>
      <c r="E416" s="500"/>
      <c r="F416" s="500"/>
      <c r="G416" s="500"/>
      <c r="H416" s="500"/>
      <c r="I416" s="500"/>
      <c r="J416" s="500"/>
      <c r="K416" s="500"/>
      <c r="L416" s="500"/>
      <c r="M416" s="500"/>
      <c r="N416" s="500"/>
    </row>
    <row r="417" spans="1:14" ht="23.1" customHeight="1">
      <c r="A417" s="499"/>
      <c r="B417" s="500"/>
      <c r="C417" s="500"/>
      <c r="D417" s="500"/>
      <c r="E417" s="500"/>
      <c r="F417" s="500"/>
      <c r="G417" s="500"/>
      <c r="H417" s="500"/>
      <c r="I417" s="500"/>
      <c r="J417" s="500"/>
      <c r="K417" s="500"/>
      <c r="L417" s="500"/>
      <c r="M417" s="500"/>
      <c r="N417" s="500"/>
    </row>
    <row r="418" spans="1:14" ht="23.1" customHeight="1">
      <c r="A418" s="499"/>
      <c r="B418" s="500"/>
      <c r="C418" s="500"/>
      <c r="D418" s="500"/>
      <c r="E418" s="500"/>
      <c r="F418" s="500"/>
      <c r="G418" s="500"/>
      <c r="H418" s="500"/>
      <c r="I418" s="500"/>
      <c r="J418" s="500"/>
      <c r="K418" s="500"/>
      <c r="L418" s="500"/>
      <c r="M418" s="500"/>
      <c r="N418" s="500"/>
    </row>
    <row r="419" spans="1:14" ht="23.1" customHeight="1">
      <c r="A419" s="499"/>
      <c r="B419" s="500"/>
      <c r="C419" s="500"/>
      <c r="D419" s="500"/>
      <c r="E419" s="500"/>
      <c r="F419" s="500"/>
      <c r="G419" s="500"/>
      <c r="H419" s="500"/>
      <c r="I419" s="500"/>
      <c r="J419" s="500"/>
      <c r="K419" s="500"/>
      <c r="L419" s="500"/>
      <c r="M419" s="500"/>
      <c r="N419" s="500"/>
    </row>
    <row r="420" spans="1:14" ht="23.1" customHeight="1">
      <c r="A420" s="499"/>
      <c r="B420" s="500"/>
      <c r="C420" s="500"/>
      <c r="D420" s="500"/>
      <c r="E420" s="500"/>
      <c r="F420" s="500"/>
      <c r="G420" s="500"/>
      <c r="H420" s="500"/>
      <c r="I420" s="500"/>
      <c r="J420" s="500"/>
      <c r="K420" s="500"/>
      <c r="L420" s="500"/>
      <c r="M420" s="500"/>
      <c r="N420" s="500"/>
    </row>
    <row r="421" spans="1:14" ht="23.1" customHeight="1">
      <c r="A421" s="499"/>
      <c r="B421" s="500"/>
      <c r="C421" s="500"/>
      <c r="D421" s="500"/>
      <c r="E421" s="500"/>
      <c r="F421" s="500"/>
      <c r="G421" s="500"/>
      <c r="H421" s="500"/>
      <c r="I421" s="500"/>
      <c r="J421" s="500"/>
      <c r="K421" s="500"/>
      <c r="L421" s="500"/>
      <c r="M421" s="500"/>
      <c r="N421" s="500"/>
    </row>
    <row r="422" spans="1:14" ht="23.1" customHeight="1">
      <c r="A422" s="499"/>
      <c r="B422" s="500"/>
      <c r="C422" s="500"/>
      <c r="D422" s="500"/>
      <c r="E422" s="500"/>
      <c r="F422" s="500"/>
      <c r="G422" s="500"/>
      <c r="H422" s="500"/>
      <c r="I422" s="500"/>
      <c r="J422" s="500"/>
      <c r="K422" s="500"/>
      <c r="L422" s="500"/>
      <c r="M422" s="500"/>
      <c r="N422" s="500"/>
    </row>
    <row r="423" spans="1:14" ht="23.1" customHeight="1">
      <c r="A423" s="499"/>
      <c r="B423" s="500"/>
      <c r="C423" s="500"/>
      <c r="D423" s="500"/>
      <c r="E423" s="500"/>
      <c r="F423" s="500"/>
      <c r="G423" s="500"/>
      <c r="H423" s="500"/>
      <c r="I423" s="500"/>
      <c r="J423" s="500"/>
      <c r="K423" s="500"/>
      <c r="L423" s="500"/>
      <c r="M423" s="500"/>
      <c r="N423" s="500"/>
    </row>
    <row r="424" spans="1:14" ht="23.1" customHeight="1">
      <c r="A424" s="499"/>
      <c r="B424" s="500"/>
      <c r="C424" s="500"/>
      <c r="D424" s="500"/>
      <c r="E424" s="500"/>
      <c r="F424" s="500"/>
      <c r="G424" s="500"/>
      <c r="H424" s="500"/>
      <c r="I424" s="500"/>
      <c r="J424" s="500"/>
      <c r="K424" s="500"/>
      <c r="L424" s="500"/>
      <c r="M424" s="500"/>
      <c r="N424" s="500"/>
    </row>
    <row r="425" spans="1:14" ht="23.1" customHeight="1">
      <c r="A425" s="499"/>
      <c r="B425" s="500"/>
      <c r="C425" s="500"/>
      <c r="D425" s="500"/>
      <c r="E425" s="500"/>
      <c r="F425" s="500"/>
      <c r="G425" s="500"/>
      <c r="H425" s="500"/>
      <c r="I425" s="500"/>
      <c r="J425" s="500"/>
      <c r="K425" s="500"/>
      <c r="L425" s="500"/>
      <c r="M425" s="500"/>
      <c r="N425" s="500"/>
    </row>
    <row r="426" spans="1:14" ht="23.1" customHeight="1">
      <c r="A426" s="499"/>
      <c r="B426" s="500"/>
      <c r="C426" s="500"/>
      <c r="D426" s="500"/>
      <c r="E426" s="500"/>
      <c r="F426" s="500"/>
      <c r="G426" s="500"/>
      <c r="H426" s="500"/>
      <c r="I426" s="500"/>
      <c r="J426" s="500"/>
      <c r="K426" s="500"/>
      <c r="L426" s="500"/>
      <c r="M426" s="500"/>
      <c r="N426" s="500"/>
    </row>
    <row r="427" spans="1:14" ht="23.1" customHeight="1">
      <c r="A427" s="499"/>
      <c r="B427" s="500"/>
      <c r="C427" s="500"/>
      <c r="D427" s="500"/>
      <c r="E427" s="500"/>
      <c r="F427" s="500"/>
      <c r="G427" s="500"/>
      <c r="H427" s="500"/>
      <c r="I427" s="500"/>
      <c r="J427" s="500"/>
      <c r="K427" s="500"/>
      <c r="L427" s="500"/>
      <c r="M427" s="500"/>
      <c r="N427" s="500"/>
    </row>
    <row r="428" spans="1:14" ht="23.1" customHeight="1">
      <c r="A428" s="499"/>
      <c r="B428" s="500"/>
      <c r="C428" s="500"/>
      <c r="D428" s="500"/>
      <c r="E428" s="500"/>
      <c r="F428" s="500"/>
      <c r="G428" s="500"/>
      <c r="H428" s="500"/>
      <c r="I428" s="500"/>
      <c r="J428" s="500"/>
      <c r="K428" s="500"/>
      <c r="L428" s="500"/>
      <c r="M428" s="500"/>
      <c r="N428" s="500"/>
    </row>
    <row r="429" spans="1:14" ht="23.1" customHeight="1">
      <c r="A429" s="499"/>
      <c r="B429" s="500"/>
      <c r="C429" s="500"/>
      <c r="D429" s="500"/>
      <c r="E429" s="500"/>
      <c r="F429" s="500"/>
      <c r="G429" s="500"/>
      <c r="H429" s="500"/>
      <c r="I429" s="500"/>
      <c r="J429" s="500"/>
      <c r="K429" s="500"/>
      <c r="L429" s="500"/>
      <c r="M429" s="500"/>
      <c r="N429" s="500"/>
    </row>
    <row r="430" spans="1:14" ht="23.1" customHeight="1">
      <c r="A430" s="499"/>
      <c r="B430" s="500"/>
      <c r="C430" s="500"/>
      <c r="D430" s="500"/>
      <c r="E430" s="500"/>
      <c r="F430" s="500"/>
      <c r="G430" s="500"/>
      <c r="H430" s="500"/>
      <c r="I430" s="500"/>
      <c r="J430" s="500"/>
      <c r="K430" s="500"/>
      <c r="L430" s="500"/>
      <c r="M430" s="500"/>
      <c r="N430" s="500"/>
    </row>
    <row r="431" spans="1:14" ht="23.1" customHeight="1">
      <c r="A431" s="499"/>
      <c r="B431" s="500"/>
      <c r="C431" s="500"/>
      <c r="D431" s="500"/>
      <c r="E431" s="500"/>
      <c r="F431" s="500"/>
      <c r="G431" s="500"/>
      <c r="H431" s="500"/>
      <c r="I431" s="500"/>
      <c r="J431" s="500"/>
      <c r="K431" s="500"/>
      <c r="L431" s="500"/>
      <c r="M431" s="500"/>
      <c r="N431" s="500"/>
    </row>
    <row r="432" spans="1:14" ht="23.1" customHeight="1">
      <c r="A432" s="499"/>
      <c r="B432" s="500"/>
      <c r="C432" s="500"/>
      <c r="D432" s="500"/>
      <c r="E432" s="500"/>
      <c r="F432" s="500"/>
      <c r="G432" s="500"/>
      <c r="H432" s="500"/>
      <c r="I432" s="500"/>
      <c r="J432" s="500"/>
      <c r="K432" s="500"/>
      <c r="L432" s="500"/>
      <c r="M432" s="500"/>
      <c r="N432" s="500"/>
    </row>
    <row r="433" spans="1:14" ht="23.1" customHeight="1">
      <c r="A433" s="499"/>
      <c r="B433" s="500"/>
      <c r="C433" s="500"/>
      <c r="D433" s="500"/>
      <c r="E433" s="500"/>
      <c r="F433" s="500"/>
      <c r="G433" s="500"/>
      <c r="H433" s="500"/>
      <c r="I433" s="500"/>
      <c r="J433" s="500"/>
      <c r="K433" s="500"/>
      <c r="L433" s="500"/>
      <c r="M433" s="500"/>
      <c r="N433" s="500"/>
    </row>
    <row r="434" spans="1:14" ht="23.1" customHeight="1">
      <c r="A434" s="499"/>
      <c r="B434" s="500"/>
      <c r="C434" s="500"/>
      <c r="D434" s="500"/>
      <c r="E434" s="500"/>
      <c r="F434" s="500"/>
      <c r="G434" s="500"/>
      <c r="H434" s="500"/>
      <c r="I434" s="500"/>
      <c r="J434" s="500"/>
      <c r="K434" s="500"/>
      <c r="L434" s="500"/>
      <c r="M434" s="500"/>
      <c r="N434" s="500"/>
    </row>
    <row r="435" spans="1:14" ht="23.1" customHeight="1">
      <c r="A435" s="499"/>
      <c r="B435" s="500"/>
      <c r="C435" s="500"/>
      <c r="D435" s="500"/>
      <c r="E435" s="500"/>
      <c r="F435" s="500"/>
      <c r="G435" s="500"/>
      <c r="H435" s="500"/>
      <c r="I435" s="500"/>
      <c r="J435" s="500"/>
      <c r="K435" s="500"/>
      <c r="L435" s="500"/>
      <c r="M435" s="500"/>
      <c r="N435" s="500"/>
    </row>
    <row r="436" spans="1:14" ht="23.1" customHeight="1">
      <c r="A436" s="499"/>
      <c r="B436" s="500"/>
      <c r="C436" s="500"/>
      <c r="D436" s="500"/>
      <c r="E436" s="500"/>
      <c r="F436" s="500"/>
      <c r="G436" s="500"/>
      <c r="H436" s="500"/>
      <c r="I436" s="500"/>
      <c r="J436" s="500"/>
      <c r="K436" s="500"/>
      <c r="L436" s="500"/>
      <c r="M436" s="500"/>
      <c r="N436" s="500"/>
    </row>
    <row r="437" spans="1:14" ht="23.1" customHeight="1">
      <c r="A437" s="499"/>
      <c r="B437" s="500"/>
      <c r="C437" s="500"/>
      <c r="D437" s="500"/>
      <c r="E437" s="500"/>
      <c r="F437" s="500"/>
      <c r="G437" s="500"/>
      <c r="H437" s="500"/>
      <c r="I437" s="500"/>
      <c r="J437" s="500"/>
      <c r="K437" s="500"/>
      <c r="L437" s="500"/>
      <c r="M437" s="500"/>
      <c r="N437" s="500"/>
    </row>
    <row r="438" spans="1:14" ht="23.1" customHeight="1">
      <c r="A438" s="499"/>
      <c r="B438" s="500"/>
      <c r="C438" s="500"/>
      <c r="D438" s="500"/>
      <c r="E438" s="500"/>
      <c r="F438" s="500"/>
      <c r="G438" s="500"/>
      <c r="H438" s="500"/>
      <c r="I438" s="500"/>
      <c r="J438" s="500"/>
      <c r="K438" s="500"/>
      <c r="L438" s="500"/>
      <c r="M438" s="500"/>
      <c r="N438" s="500"/>
    </row>
    <row r="439" spans="1:14" ht="23.1" customHeight="1">
      <c r="A439" s="499"/>
      <c r="B439" s="500"/>
      <c r="C439" s="500"/>
      <c r="D439" s="500"/>
      <c r="E439" s="500"/>
      <c r="F439" s="500"/>
      <c r="G439" s="500"/>
      <c r="H439" s="500"/>
      <c r="I439" s="500"/>
      <c r="J439" s="500"/>
      <c r="K439" s="500"/>
      <c r="L439" s="500"/>
      <c r="M439" s="500"/>
      <c r="N439" s="500"/>
    </row>
    <row r="440" spans="1:14" ht="23.1" customHeight="1">
      <c r="A440" s="499"/>
      <c r="B440" s="500"/>
      <c r="C440" s="500"/>
      <c r="D440" s="500"/>
      <c r="E440" s="500"/>
      <c r="F440" s="500"/>
      <c r="G440" s="500"/>
      <c r="H440" s="500"/>
      <c r="I440" s="500"/>
      <c r="J440" s="500"/>
      <c r="K440" s="500"/>
      <c r="L440" s="500"/>
      <c r="M440" s="500"/>
      <c r="N440" s="500"/>
    </row>
    <row r="441" spans="1:14" ht="23.1" customHeight="1">
      <c r="A441" s="499"/>
      <c r="B441" s="500"/>
      <c r="C441" s="500"/>
      <c r="D441" s="500"/>
      <c r="E441" s="500"/>
      <c r="F441" s="500"/>
      <c r="G441" s="500"/>
      <c r="H441" s="500"/>
      <c r="I441" s="500"/>
      <c r="J441" s="500"/>
      <c r="K441" s="500"/>
      <c r="L441" s="500"/>
      <c r="M441" s="500"/>
      <c r="N441" s="500"/>
    </row>
    <row r="442" spans="1:14" ht="23.1" customHeight="1">
      <c r="A442" s="499"/>
      <c r="B442" s="500"/>
      <c r="C442" s="500"/>
      <c r="D442" s="500"/>
      <c r="E442" s="500"/>
      <c r="F442" s="500"/>
      <c r="G442" s="500"/>
      <c r="H442" s="500"/>
      <c r="I442" s="500"/>
      <c r="J442" s="500"/>
      <c r="K442" s="500"/>
      <c r="L442" s="500"/>
      <c r="M442" s="500"/>
      <c r="N442" s="500"/>
    </row>
    <row r="443" spans="1:14" ht="23.1" customHeight="1">
      <c r="A443" s="499"/>
      <c r="B443" s="500"/>
      <c r="C443" s="500"/>
      <c r="D443" s="500"/>
      <c r="E443" s="500"/>
      <c r="F443" s="500"/>
      <c r="G443" s="500"/>
      <c r="H443" s="500"/>
      <c r="I443" s="500"/>
      <c r="J443" s="500"/>
      <c r="K443" s="500"/>
      <c r="L443" s="500"/>
      <c r="M443" s="500"/>
      <c r="N443" s="500"/>
    </row>
  </sheetData>
  <phoneticPr fontId="0" type="noConversion"/>
  <printOptions gridLines="1"/>
  <pageMargins left="0.53" right="0.28000000000000003" top="0.85" bottom="0.18" header="0.3" footer="0.28999999999999998"/>
  <pageSetup scale="55" orientation="portrait" r:id="rId1"/>
  <headerFooter alignWithMargins="0">
    <oddHeader>&amp;C&amp;"Algerian,Bold"&amp;36Golaha Wakiiladda JSL.</oddHeader>
    <oddFooter>&amp;R&amp;"Times New Roman,Bold"&amp;14 &amp;20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8"/>
  <sheetViews>
    <sheetView view="pageBreakPreview" topLeftCell="A31" zoomScale="60" workbookViewId="0">
      <selection activeCell="R47" sqref="R47"/>
    </sheetView>
  </sheetViews>
  <sheetFormatPr defaultRowHeight="24.95" customHeight="1"/>
  <cols>
    <col min="1" max="1" width="16" style="511" customWidth="1"/>
    <col min="2" max="2" width="85.5" style="504" customWidth="1"/>
    <col min="3" max="3" width="22.6640625" style="504" hidden="1" customWidth="1"/>
    <col min="4" max="4" width="19.83203125" style="504" hidden="1" customWidth="1"/>
    <col min="5" max="5" width="18" style="504" hidden="1" customWidth="1"/>
    <col min="6" max="6" width="17" style="504" hidden="1" customWidth="1"/>
    <col min="7" max="7" width="20.6640625" style="504" hidden="1" customWidth="1"/>
    <col min="8" max="8" width="20.5" style="504" hidden="1" customWidth="1"/>
    <col min="9" max="9" width="4" style="504" hidden="1" customWidth="1"/>
    <col min="10" max="10" width="24.6640625" style="504" hidden="1" customWidth="1"/>
    <col min="11" max="11" width="26.33203125" style="504" hidden="1" customWidth="1"/>
    <col min="12" max="12" width="27.6640625" style="504" hidden="1" customWidth="1"/>
    <col min="13" max="13" width="0.1640625" style="504" hidden="1" customWidth="1"/>
    <col min="14" max="14" width="26.5" style="504" hidden="1" customWidth="1"/>
    <col min="15" max="16" width="27.6640625" style="510" hidden="1" customWidth="1"/>
    <col min="17" max="18" width="27.6640625" style="510" customWidth="1"/>
    <col min="19" max="19" width="27" style="504" customWidth="1"/>
    <col min="20" max="16384" width="9.33203125" style="504"/>
  </cols>
  <sheetData>
    <row r="1" spans="1:19" ht="24.95" customHeight="1">
      <c r="A1" s="476" t="s">
        <v>39</v>
      </c>
      <c r="B1" s="303" t="s">
        <v>988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s="505" customFormat="1" ht="24.95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107</v>
      </c>
      <c r="K2" s="286" t="s">
        <v>138</v>
      </c>
      <c r="L2" s="286" t="s">
        <v>260</v>
      </c>
      <c r="M2" s="286" t="s">
        <v>440</v>
      </c>
      <c r="N2" s="286" t="s">
        <v>806</v>
      </c>
      <c r="O2" s="286" t="s">
        <v>872</v>
      </c>
      <c r="P2" s="286" t="s">
        <v>973</v>
      </c>
      <c r="Q2" s="286" t="s">
        <v>1160</v>
      </c>
      <c r="R2" s="286" t="s">
        <v>1320</v>
      </c>
      <c r="S2" s="286" t="s">
        <v>47</v>
      </c>
    </row>
    <row r="3" spans="1:19" ht="24.95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46"/>
    </row>
    <row r="4" spans="1:19" ht="24.95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>
        <f>170726400+3198000</f>
        <v>173924400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4.95" customHeight="1">
      <c r="A5" s="392">
        <v>21101</v>
      </c>
      <c r="B5" s="246" t="s">
        <v>371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114472800</v>
      </c>
      <c r="L5" s="246">
        <f>shaqaalaha2011!H7+11*423800*12*2+111883200</f>
        <v>328816800</v>
      </c>
      <c r="M5" s="246">
        <v>105050400</v>
      </c>
      <c r="N5" s="246">
        <v>154003200</v>
      </c>
      <c r="O5" s="246">
        <v>245793600</v>
      </c>
      <c r="P5" s="246">
        <v>248077440</v>
      </c>
      <c r="Q5" s="246">
        <v>574853760</v>
      </c>
      <c r="R5" s="840">
        <v>732292704</v>
      </c>
      <c r="S5" s="246">
        <f>R5-Q5</f>
        <v>157438944</v>
      </c>
    </row>
    <row r="6" spans="1:19" ht="24.95" customHeight="1">
      <c r="A6" s="392">
        <v>21102</v>
      </c>
      <c r="B6" s="246" t="s">
        <v>29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f>2535276000+2400000</f>
        <v>2537676000</v>
      </c>
      <c r="K6" s="246">
        <v>0</v>
      </c>
      <c r="L6" s="246">
        <v>0</v>
      </c>
      <c r="M6" s="246">
        <v>1120024800</v>
      </c>
      <c r="N6" s="246">
        <v>1069200000</v>
      </c>
      <c r="O6" s="246">
        <v>1012953600</v>
      </c>
      <c r="P6" s="246">
        <v>1069200000</v>
      </c>
      <c r="Q6" s="282">
        <v>1603800000</v>
      </c>
      <c r="R6" s="852">
        <v>1603800000</v>
      </c>
      <c r="S6" s="246">
        <f t="shared" ref="S6:S47" si="0">R6-Q6</f>
        <v>0</v>
      </c>
    </row>
    <row r="7" spans="1:19" ht="24.95" customHeight="1">
      <c r="A7" s="392">
        <v>21103</v>
      </c>
      <c r="B7" s="246" t="s">
        <v>809</v>
      </c>
      <c r="C7" s="246"/>
      <c r="D7" s="246"/>
      <c r="E7" s="246"/>
      <c r="F7" s="246"/>
      <c r="G7" s="246"/>
      <c r="H7" s="246"/>
      <c r="I7" s="246"/>
      <c r="J7" s="246"/>
      <c r="K7" s="246">
        <v>468468000</v>
      </c>
      <c r="L7" s="246">
        <v>468468000</v>
      </c>
      <c r="M7" s="246">
        <v>84000000</v>
      </c>
      <c r="N7" s="246">
        <v>156000000</v>
      </c>
      <c r="O7" s="246">
        <v>199200000</v>
      </c>
      <c r="P7" s="246">
        <v>199200000</v>
      </c>
      <c r="Q7" s="282">
        <v>306000000</v>
      </c>
      <c r="R7" s="852">
        <v>412800000</v>
      </c>
      <c r="S7" s="246">
        <f t="shared" si="0"/>
        <v>106800000</v>
      </c>
    </row>
    <row r="8" spans="1:19" ht="24.95" customHeight="1">
      <c r="A8" s="392">
        <v>21105</v>
      </c>
      <c r="B8" s="246" t="s">
        <v>523</v>
      </c>
      <c r="C8" s="246">
        <v>2500000</v>
      </c>
      <c r="D8" s="246">
        <v>2000000</v>
      </c>
      <c r="E8" s="246">
        <v>2000000</v>
      </c>
      <c r="F8" s="246">
        <v>2000000</v>
      </c>
      <c r="G8" s="246">
        <v>1600000</v>
      </c>
      <c r="H8" s="246">
        <v>41000000</v>
      </c>
      <c r="I8" s="246">
        <v>41000000</v>
      </c>
      <c r="J8" s="246"/>
      <c r="K8" s="246">
        <v>25200000</v>
      </c>
      <c r="L8" s="246">
        <v>25200000</v>
      </c>
      <c r="M8" s="246">
        <f>L8</f>
        <v>25200000</v>
      </c>
      <c r="N8" s="246">
        <f>M8</f>
        <v>25200000</v>
      </c>
      <c r="O8" s="246">
        <v>214800000</v>
      </c>
      <c r="P8" s="246">
        <v>217200000</v>
      </c>
      <c r="Q8" s="282">
        <v>1053000000</v>
      </c>
      <c r="R8" s="852">
        <v>1233000000</v>
      </c>
      <c r="S8" s="246">
        <f t="shared" si="0"/>
        <v>180000000</v>
      </c>
    </row>
    <row r="9" spans="1:19" s="506" customFormat="1" ht="24.95" customHeight="1">
      <c r="A9" s="476">
        <v>2120</v>
      </c>
      <c r="B9" s="280" t="s">
        <v>218</v>
      </c>
      <c r="C9" s="246"/>
      <c r="D9" s="246"/>
      <c r="E9" s="246"/>
      <c r="F9" s="246"/>
      <c r="G9" s="246"/>
      <c r="H9" s="246"/>
      <c r="I9" s="246"/>
      <c r="J9" s="246"/>
      <c r="K9" s="280"/>
      <c r="L9" s="280"/>
      <c r="M9" s="280"/>
      <c r="N9" s="280"/>
      <c r="O9" s="280"/>
      <c r="P9" s="280"/>
      <c r="Q9" s="280"/>
      <c r="R9" s="851"/>
      <c r="S9" s="246">
        <f t="shared" si="0"/>
        <v>0</v>
      </c>
    </row>
    <row r="10" spans="1:19" ht="24.95" customHeight="1">
      <c r="A10" s="392"/>
      <c r="B10" s="280" t="s">
        <v>92</v>
      </c>
      <c r="C10" s="246">
        <v>11878000</v>
      </c>
      <c r="D10" s="246">
        <f>2000000+2000000</f>
        <v>4000000</v>
      </c>
      <c r="E10" s="246">
        <v>2000000</v>
      </c>
      <c r="F10" s="246">
        <v>2000000</v>
      </c>
      <c r="G10" s="246">
        <v>1600000</v>
      </c>
      <c r="H10" s="246">
        <v>30000000</v>
      </c>
      <c r="I10" s="246">
        <v>60000000</v>
      </c>
      <c r="J10" s="246">
        <v>50000000</v>
      </c>
      <c r="K10" s="280">
        <f t="shared" ref="K10:O10" si="1">SUM(K5:K9)</f>
        <v>608140800</v>
      </c>
      <c r="L10" s="280">
        <f t="shared" si="1"/>
        <v>822484800</v>
      </c>
      <c r="M10" s="280">
        <f t="shared" si="1"/>
        <v>1334275200</v>
      </c>
      <c r="N10" s="280">
        <f t="shared" si="1"/>
        <v>1404403200</v>
      </c>
      <c r="O10" s="280">
        <f t="shared" si="1"/>
        <v>1672747200</v>
      </c>
      <c r="P10" s="280">
        <f>SUM(P5:P9)</f>
        <v>1733677440</v>
      </c>
      <c r="Q10" s="280">
        <f>SUM(Q5:Q9)</f>
        <v>3537653760</v>
      </c>
      <c r="R10" s="851">
        <f>SUM(R5:R9)</f>
        <v>3981892704</v>
      </c>
      <c r="S10" s="280">
        <f t="shared" si="0"/>
        <v>444238944</v>
      </c>
    </row>
    <row r="11" spans="1:19" ht="24.95" customHeight="1">
      <c r="A11" s="476">
        <v>220</v>
      </c>
      <c r="B11" s="280" t="s">
        <v>225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200000000</v>
      </c>
      <c r="I11" s="246">
        <v>200000000</v>
      </c>
      <c r="J11" s="246">
        <v>280000000</v>
      </c>
      <c r="K11" s="246"/>
      <c r="L11" s="246"/>
      <c r="M11" s="246"/>
      <c r="N11" s="246"/>
      <c r="O11" s="246"/>
      <c r="P11" s="246"/>
      <c r="Q11" s="246"/>
      <c r="R11" s="840"/>
      <c r="S11" s="246">
        <f t="shared" si="0"/>
        <v>0</v>
      </c>
    </row>
    <row r="12" spans="1:19" s="506" customFormat="1" ht="24.95" customHeight="1">
      <c r="A12" s="476">
        <v>2210</v>
      </c>
      <c r="B12" s="280" t="s">
        <v>226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840"/>
      <c r="S12" s="246">
        <f t="shared" si="0"/>
        <v>0</v>
      </c>
    </row>
    <row r="13" spans="1:19" ht="24.95" customHeight="1">
      <c r="A13" s="392">
        <v>22101</v>
      </c>
      <c r="B13" s="246" t="s">
        <v>33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356850000</v>
      </c>
      <c r="I13" s="246">
        <v>0</v>
      </c>
      <c r="J13" s="246">
        <v>84000000</v>
      </c>
      <c r="K13" s="246">
        <v>30620000</v>
      </c>
      <c r="L13" s="246">
        <f>30620000*70%</f>
        <v>21434000</v>
      </c>
      <c r="M13" s="246">
        <v>27864200</v>
      </c>
      <c r="N13" s="246">
        <v>47864200</v>
      </c>
      <c r="O13" s="246">
        <v>67864200</v>
      </c>
      <c r="P13" s="246">
        <v>140000000</v>
      </c>
      <c r="Q13" s="246">
        <v>250000000</v>
      </c>
      <c r="R13" s="840">
        <v>350000000</v>
      </c>
      <c r="S13" s="246">
        <f t="shared" si="0"/>
        <v>100000000</v>
      </c>
    </row>
    <row r="14" spans="1:19" ht="24.95" customHeight="1">
      <c r="A14" s="392">
        <v>22102</v>
      </c>
      <c r="B14" s="246" t="s">
        <v>124</v>
      </c>
      <c r="C14" s="246">
        <v>1500000</v>
      </c>
      <c r="D14" s="246">
        <v>5500000</v>
      </c>
      <c r="E14" s="246">
        <v>500000</v>
      </c>
      <c r="F14" s="246">
        <v>500000</v>
      </c>
      <c r="G14" s="246">
        <v>400000</v>
      </c>
      <c r="H14" s="246">
        <v>12000000</v>
      </c>
      <c r="I14" s="246">
        <v>20000000</v>
      </c>
      <c r="J14" s="246">
        <v>20000000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840">
        <v>0</v>
      </c>
      <c r="S14" s="246">
        <f t="shared" si="0"/>
        <v>0</v>
      </c>
    </row>
    <row r="15" spans="1:19" ht="24.95" customHeight="1">
      <c r="A15" s="392">
        <v>22103</v>
      </c>
      <c r="B15" s="246" t="s">
        <v>125</v>
      </c>
      <c r="C15" s="246"/>
      <c r="D15" s="246"/>
      <c r="E15" s="246"/>
      <c r="F15" s="246"/>
      <c r="G15" s="246"/>
      <c r="H15" s="246"/>
      <c r="I15" s="246"/>
      <c r="J15" s="246"/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840">
        <v>0</v>
      </c>
      <c r="S15" s="246">
        <f t="shared" si="0"/>
        <v>0</v>
      </c>
    </row>
    <row r="16" spans="1:19" ht="24.95" customHeight="1">
      <c r="A16" s="392">
        <v>22104</v>
      </c>
      <c r="B16" s="246" t="s">
        <v>157</v>
      </c>
      <c r="C16" s="246"/>
      <c r="D16" s="246"/>
      <c r="E16" s="246"/>
      <c r="F16" s="246"/>
      <c r="G16" s="246"/>
      <c r="H16" s="246"/>
      <c r="I16" s="246"/>
      <c r="J16" s="246"/>
      <c r="K16" s="246">
        <v>58358400</v>
      </c>
      <c r="L16" s="246">
        <f>58358400*70%</f>
        <v>40850880</v>
      </c>
      <c r="M16" s="246">
        <f>58358400*70%</f>
        <v>40850880</v>
      </c>
      <c r="N16" s="246">
        <v>50850880</v>
      </c>
      <c r="O16" s="246">
        <v>53850880</v>
      </c>
      <c r="P16" s="246">
        <v>53850880</v>
      </c>
      <c r="Q16" s="246">
        <v>73850880</v>
      </c>
      <c r="R16" s="840">
        <v>93850880</v>
      </c>
      <c r="S16" s="246">
        <f t="shared" si="0"/>
        <v>20000000</v>
      </c>
    </row>
    <row r="17" spans="1:19" ht="24.95" customHeight="1">
      <c r="A17" s="392">
        <v>22105</v>
      </c>
      <c r="B17" s="246" t="s">
        <v>135</v>
      </c>
      <c r="C17" s="246"/>
      <c r="D17" s="246"/>
      <c r="E17" s="246"/>
      <c r="F17" s="246"/>
      <c r="G17" s="246"/>
      <c r="H17" s="246"/>
      <c r="I17" s="246"/>
      <c r="J17" s="246"/>
      <c r="K17" s="246">
        <v>0</v>
      </c>
      <c r="L17" s="246">
        <f>21600000*70%</f>
        <v>15119999.999999998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840">
        <v>0</v>
      </c>
      <c r="S17" s="246">
        <f t="shared" si="0"/>
        <v>0</v>
      </c>
    </row>
    <row r="18" spans="1:19" ht="24.95" customHeight="1">
      <c r="A18" s="392">
        <v>22106</v>
      </c>
      <c r="B18" s="246" t="s">
        <v>126</v>
      </c>
      <c r="C18" s="246">
        <v>2500000</v>
      </c>
      <c r="D18" s="246">
        <v>2000000</v>
      </c>
      <c r="E18" s="246">
        <v>2000000</v>
      </c>
      <c r="F18" s="246">
        <v>2000000</v>
      </c>
      <c r="G18" s="246">
        <v>1600000</v>
      </c>
      <c r="H18" s="246">
        <v>41000000</v>
      </c>
      <c r="I18" s="246">
        <v>41000000</v>
      </c>
      <c r="J18" s="246">
        <v>31000000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840">
        <v>100000000</v>
      </c>
      <c r="S18" s="246">
        <f t="shared" si="0"/>
        <v>100000000</v>
      </c>
    </row>
    <row r="19" spans="1:19" ht="24.95" customHeight="1">
      <c r="A19" s="392">
        <v>22107</v>
      </c>
      <c r="B19" s="246" t="s">
        <v>48</v>
      </c>
      <c r="C19" s="246">
        <f t="shared" ref="C19:J19" si="2">SUM(C13:C18)</f>
        <v>4000000</v>
      </c>
      <c r="D19" s="246">
        <f t="shared" si="2"/>
        <v>7500000</v>
      </c>
      <c r="E19" s="246">
        <f t="shared" si="2"/>
        <v>2500000</v>
      </c>
      <c r="F19" s="246">
        <f t="shared" si="2"/>
        <v>2500000</v>
      </c>
      <c r="G19" s="246">
        <f t="shared" si="2"/>
        <v>2000000</v>
      </c>
      <c r="H19" s="246">
        <f t="shared" si="2"/>
        <v>409850000</v>
      </c>
      <c r="I19" s="280">
        <f t="shared" si="2"/>
        <v>61000000</v>
      </c>
      <c r="J19" s="280">
        <f t="shared" si="2"/>
        <v>135000000</v>
      </c>
      <c r="K19" s="246">
        <v>20000000</v>
      </c>
      <c r="L19" s="246">
        <f>20000000*70%</f>
        <v>14000000</v>
      </c>
      <c r="M19" s="246">
        <f>L19*70%</f>
        <v>9800000</v>
      </c>
      <c r="N19" s="246">
        <v>9800000</v>
      </c>
      <c r="O19" s="246">
        <v>9800000</v>
      </c>
      <c r="P19" s="246">
        <v>9800000</v>
      </c>
      <c r="Q19" s="246">
        <v>19800000</v>
      </c>
      <c r="R19" s="840">
        <v>50000000</v>
      </c>
      <c r="S19" s="246">
        <f t="shared" si="0"/>
        <v>30200000</v>
      </c>
    </row>
    <row r="20" spans="1:19" ht="24.95" customHeight="1">
      <c r="A20" s="392">
        <v>22108</v>
      </c>
      <c r="B20" s="246" t="s">
        <v>93</v>
      </c>
      <c r="C20" s="246"/>
      <c r="D20" s="246"/>
      <c r="E20" s="246"/>
      <c r="F20" s="246"/>
      <c r="G20" s="246"/>
      <c r="H20" s="246"/>
      <c r="I20" s="246"/>
      <c r="J20" s="246"/>
      <c r="K20" s="280">
        <v>0</v>
      </c>
      <c r="L20" s="280">
        <v>0</v>
      </c>
      <c r="M20" s="246">
        <v>24500000</v>
      </c>
      <c r="N20" s="246">
        <v>24500000</v>
      </c>
      <c r="O20" s="246">
        <v>54000000</v>
      </c>
      <c r="P20" s="246">
        <v>54000000</v>
      </c>
      <c r="Q20" s="246">
        <v>84000000</v>
      </c>
      <c r="R20" s="840">
        <v>180000000</v>
      </c>
      <c r="S20" s="246">
        <f t="shared" si="0"/>
        <v>96000000</v>
      </c>
    </row>
    <row r="21" spans="1:19" ht="24.95" customHeight="1">
      <c r="A21" s="392">
        <v>22109</v>
      </c>
      <c r="B21" s="246" t="s">
        <v>136</v>
      </c>
      <c r="C21" s="246">
        <v>23000000</v>
      </c>
      <c r="D21" s="246">
        <v>15000000</v>
      </c>
      <c r="E21" s="246">
        <v>8949700</v>
      </c>
      <c r="F21" s="246">
        <v>8949700</v>
      </c>
      <c r="G21" s="246">
        <v>12000000</v>
      </c>
      <c r="H21" s="246">
        <v>80000000</v>
      </c>
      <c r="I21" s="246">
        <v>80000000</v>
      </c>
      <c r="J21" s="246">
        <v>80000000</v>
      </c>
      <c r="K21" s="246">
        <v>10000000</v>
      </c>
      <c r="L21" s="246">
        <f>10000000*70%</f>
        <v>7000000</v>
      </c>
      <c r="M21" s="246">
        <f>10000000*70%</f>
        <v>7000000</v>
      </c>
      <c r="N21" s="246">
        <f>10000000*70%</f>
        <v>7000000</v>
      </c>
      <c r="O21" s="246">
        <v>10000000</v>
      </c>
      <c r="P21" s="246">
        <v>10000000</v>
      </c>
      <c r="Q21" s="246">
        <v>10000000</v>
      </c>
      <c r="R21" s="840">
        <v>10000000</v>
      </c>
      <c r="S21" s="246">
        <f t="shared" si="0"/>
        <v>0</v>
      </c>
    </row>
    <row r="22" spans="1:19" ht="24.95" customHeight="1">
      <c r="A22" s="392">
        <v>22112</v>
      </c>
      <c r="B22" s="246" t="s">
        <v>35</v>
      </c>
      <c r="C22" s="246">
        <v>10061000</v>
      </c>
      <c r="D22" s="246">
        <v>2000000</v>
      </c>
      <c r="E22" s="246">
        <v>0</v>
      </c>
      <c r="F22" s="246">
        <v>0</v>
      </c>
      <c r="G22" s="246">
        <v>0</v>
      </c>
      <c r="H22" s="246">
        <v>30000000</v>
      </c>
      <c r="I22" s="246">
        <v>40000000</v>
      </c>
      <c r="J22" s="246">
        <v>30000000</v>
      </c>
      <c r="K22" s="246">
        <v>21172000</v>
      </c>
      <c r="L22" s="246">
        <f>21172000*70%</f>
        <v>14820399.999999998</v>
      </c>
      <c r="M22" s="246">
        <f>21172000*70%</f>
        <v>14820399.999999998</v>
      </c>
      <c r="N22" s="246">
        <v>24820400</v>
      </c>
      <c r="O22" s="246">
        <v>24820400</v>
      </c>
      <c r="P22" s="246">
        <v>24820400</v>
      </c>
      <c r="Q22" s="246">
        <v>64820400</v>
      </c>
      <c r="R22" s="840">
        <v>100000000</v>
      </c>
      <c r="S22" s="246">
        <f t="shared" si="0"/>
        <v>35179600</v>
      </c>
    </row>
    <row r="23" spans="1:19" ht="24.95" customHeight="1">
      <c r="A23" s="392">
        <v>22113</v>
      </c>
      <c r="B23" s="246" t="s">
        <v>262</v>
      </c>
      <c r="C23" s="246"/>
      <c r="D23" s="246"/>
      <c r="E23" s="246"/>
      <c r="F23" s="246"/>
      <c r="G23" s="246"/>
      <c r="H23" s="246"/>
      <c r="I23" s="246"/>
      <c r="J23" s="246"/>
      <c r="K23" s="246">
        <v>10000000</v>
      </c>
      <c r="L23" s="246">
        <f>10000000*70%</f>
        <v>7000000</v>
      </c>
      <c r="M23" s="246">
        <v>10500000</v>
      </c>
      <c r="N23" s="246">
        <v>10500000</v>
      </c>
      <c r="O23" s="246">
        <v>10500000</v>
      </c>
      <c r="P23" s="246">
        <v>10500000</v>
      </c>
      <c r="Q23" s="246">
        <v>10500000</v>
      </c>
      <c r="R23" s="840">
        <v>10500000</v>
      </c>
      <c r="S23" s="246">
        <f t="shared" si="0"/>
        <v>0</v>
      </c>
    </row>
    <row r="24" spans="1:19" ht="24.95" customHeight="1">
      <c r="A24" s="392">
        <v>22115</v>
      </c>
      <c r="B24" s="246" t="s">
        <v>263</v>
      </c>
      <c r="C24" s="246"/>
      <c r="D24" s="246"/>
      <c r="E24" s="246"/>
      <c r="F24" s="246"/>
      <c r="G24" s="246"/>
      <c r="H24" s="246"/>
      <c r="I24" s="246"/>
      <c r="J24" s="246"/>
      <c r="K24" s="246">
        <v>20000000</v>
      </c>
      <c r="L24" s="246">
        <f>20000000*70%</f>
        <v>14000000</v>
      </c>
      <c r="M24" s="246">
        <v>21000000</v>
      </c>
      <c r="N24" s="246">
        <v>21000000</v>
      </c>
      <c r="O24" s="246">
        <v>21000000</v>
      </c>
      <c r="P24" s="246">
        <v>21000000</v>
      </c>
      <c r="Q24" s="246">
        <v>21000000</v>
      </c>
      <c r="R24" s="840">
        <v>21000000</v>
      </c>
      <c r="S24" s="246">
        <f t="shared" si="0"/>
        <v>0</v>
      </c>
    </row>
    <row r="25" spans="1:19" s="506" customFormat="1" ht="24.95" customHeight="1">
      <c r="A25" s="392">
        <v>22132</v>
      </c>
      <c r="B25" s="246" t="s">
        <v>187</v>
      </c>
      <c r="C25" s="246">
        <v>3000000</v>
      </c>
      <c r="D25" s="246">
        <v>1500000</v>
      </c>
      <c r="E25" s="246">
        <v>0</v>
      </c>
      <c r="F25" s="246">
        <v>0</v>
      </c>
      <c r="G25" s="246">
        <v>0</v>
      </c>
      <c r="H25" s="246">
        <v>15000000</v>
      </c>
      <c r="I25" s="246">
        <v>20000000</v>
      </c>
      <c r="J25" s="246">
        <v>20000000</v>
      </c>
      <c r="K25" s="246">
        <v>35000000</v>
      </c>
      <c r="L25" s="246">
        <f>35000000*70%</f>
        <v>24500000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840">
        <v>0</v>
      </c>
      <c r="S25" s="246">
        <f t="shared" si="0"/>
        <v>0</v>
      </c>
    </row>
    <row r="26" spans="1:19" ht="24.95" customHeight="1">
      <c r="A26" s="392"/>
      <c r="B26" s="280" t="s">
        <v>92</v>
      </c>
      <c r="C26" s="246">
        <v>0</v>
      </c>
      <c r="D26" s="246">
        <v>0</v>
      </c>
      <c r="E26" s="246">
        <v>0</v>
      </c>
      <c r="F26" s="246">
        <v>0</v>
      </c>
      <c r="G26" s="246">
        <v>16000000</v>
      </c>
      <c r="H26" s="246">
        <v>360113000</v>
      </c>
      <c r="I26" s="246">
        <v>208212162</v>
      </c>
      <c r="J26" s="246">
        <v>330000000</v>
      </c>
      <c r="K26" s="280">
        <f t="shared" ref="K26:P26" si="3">SUM(K13:K25)</f>
        <v>205150400</v>
      </c>
      <c r="L26" s="280">
        <f t="shared" si="3"/>
        <v>158725280</v>
      </c>
      <c r="M26" s="280">
        <f t="shared" si="3"/>
        <v>156335480</v>
      </c>
      <c r="N26" s="280">
        <f t="shared" si="3"/>
        <v>196335480</v>
      </c>
      <c r="O26" s="280">
        <f t="shared" si="3"/>
        <v>251835480</v>
      </c>
      <c r="P26" s="280">
        <f t="shared" si="3"/>
        <v>323971280</v>
      </c>
      <c r="Q26" s="280">
        <f>SUM(Q13:Q25)</f>
        <v>533971280</v>
      </c>
      <c r="R26" s="851">
        <f>SUM(R13:R25)</f>
        <v>915350880</v>
      </c>
      <c r="S26" s="280">
        <f t="shared" si="0"/>
        <v>381379600</v>
      </c>
    </row>
    <row r="27" spans="1:19" ht="24.95" customHeight="1">
      <c r="A27" s="476">
        <v>2220</v>
      </c>
      <c r="B27" s="280" t="s">
        <v>240</v>
      </c>
      <c r="C27" s="246"/>
      <c r="D27" s="246"/>
      <c r="E27" s="246"/>
      <c r="F27" s="246"/>
      <c r="G27" s="246"/>
      <c r="H27" s="246"/>
      <c r="I27" s="246">
        <v>0</v>
      </c>
      <c r="J27" s="246">
        <v>35000000</v>
      </c>
      <c r="K27" s="280"/>
      <c r="L27" s="280"/>
      <c r="M27" s="280"/>
      <c r="N27" s="280"/>
      <c r="O27" s="280"/>
      <c r="P27" s="280"/>
      <c r="Q27" s="280"/>
      <c r="R27" s="851"/>
      <c r="S27" s="246">
        <f t="shared" si="0"/>
        <v>0</v>
      </c>
    </row>
    <row r="28" spans="1:19" ht="24.95" customHeight="1">
      <c r="A28" s="392">
        <v>22201</v>
      </c>
      <c r="B28" s="246" t="s">
        <v>132</v>
      </c>
      <c r="C28" s="280" t="e">
        <f>#REF!+#REF!+#REF!+#REF!+#REF!</f>
        <v>#REF!</v>
      </c>
      <c r="D28" s="280" t="e">
        <f>#REF!+#REF!+#REF!+#REF!+#REF!</f>
        <v>#REF!</v>
      </c>
      <c r="E28" s="280" t="e">
        <f>#REF!+#REF!+#REF!+#REF!+#REF!</f>
        <v>#REF!</v>
      </c>
      <c r="F28" s="280" t="e">
        <f>#REF!+#REF!+#REF!+#REF!+#REF!</f>
        <v>#REF!</v>
      </c>
      <c r="G28" s="280" t="e">
        <f>#REF!+#REF!+#REF!+#REF!+#REF!</f>
        <v>#REF!</v>
      </c>
      <c r="H28" s="280" t="e">
        <f>#REF!+#REF!+#REF!+#REF!+#REF!</f>
        <v>#REF!</v>
      </c>
      <c r="I28" s="280" t="e">
        <f>#REF!+#REF!+#REF!+#REF!+#REF!</f>
        <v>#REF!</v>
      </c>
      <c r="J28" s="280" t="e">
        <f>#REF!+#REF!+#REF!+#REF!+#REF!</f>
        <v>#REF!</v>
      </c>
      <c r="K28" s="246">
        <v>0</v>
      </c>
      <c r="L28" s="246">
        <v>0</v>
      </c>
      <c r="M28" s="246">
        <v>0</v>
      </c>
      <c r="N28" s="246">
        <v>0</v>
      </c>
      <c r="O28" s="246">
        <v>12000000</v>
      </c>
      <c r="P28" s="246">
        <v>12000000</v>
      </c>
      <c r="Q28" s="246">
        <v>32000000</v>
      </c>
      <c r="R28" s="840">
        <v>32000000</v>
      </c>
      <c r="S28" s="246">
        <f t="shared" si="0"/>
        <v>0</v>
      </c>
    </row>
    <row r="29" spans="1:19" ht="24.95" customHeight="1">
      <c r="A29" s="392">
        <v>22202</v>
      </c>
      <c r="B29" s="246" t="s">
        <v>133</v>
      </c>
      <c r="C29" s="292"/>
      <c r="D29" s="292"/>
      <c r="E29" s="292"/>
      <c r="F29" s="274">
        <v>0</v>
      </c>
      <c r="G29" s="274" t="s">
        <v>4</v>
      </c>
      <c r="H29" s="274"/>
      <c r="I29" s="274"/>
      <c r="J29" s="274"/>
      <c r="K29" s="246">
        <v>216204000</v>
      </c>
      <c r="L29" s="246">
        <f>216204000*70%</f>
        <v>151342800</v>
      </c>
      <c r="M29" s="246">
        <f>L29*80%</f>
        <v>121074240</v>
      </c>
      <c r="N29" s="246">
        <v>121074240</v>
      </c>
      <c r="O29" s="246">
        <v>171074240</v>
      </c>
      <c r="P29" s="246">
        <v>221074240</v>
      </c>
      <c r="Q29" s="246">
        <v>371074240</v>
      </c>
      <c r="R29" s="840">
        <v>451000000</v>
      </c>
      <c r="S29" s="246">
        <f t="shared" si="0"/>
        <v>79925760</v>
      </c>
    </row>
    <row r="30" spans="1:19" s="506" customFormat="1" ht="24.95" customHeight="1">
      <c r="A30" s="392">
        <v>22203</v>
      </c>
      <c r="B30" s="246" t="s">
        <v>127</v>
      </c>
      <c r="C30" s="292"/>
      <c r="D30" s="292"/>
      <c r="E30" s="292"/>
      <c r="F30" s="274"/>
      <c r="G30" s="274"/>
      <c r="H30" s="274"/>
      <c r="I30" s="274"/>
      <c r="J30" s="274"/>
      <c r="K30" s="246">
        <v>30000000</v>
      </c>
      <c r="L30" s="246">
        <f>30000000*70%</f>
        <v>21000000</v>
      </c>
      <c r="M30" s="246">
        <f>30000000*70%</f>
        <v>21000000</v>
      </c>
      <c r="N30" s="246">
        <f>30000000*70%</f>
        <v>21000000</v>
      </c>
      <c r="O30" s="246">
        <f>30000000*70%</f>
        <v>21000000</v>
      </c>
      <c r="P30" s="246">
        <v>41000000</v>
      </c>
      <c r="Q30" s="246">
        <v>61000000</v>
      </c>
      <c r="R30" s="840">
        <v>61000000</v>
      </c>
      <c r="S30" s="246">
        <f t="shared" si="0"/>
        <v>0</v>
      </c>
    </row>
    <row r="31" spans="1:19" ht="24.95" customHeight="1">
      <c r="A31" s="392">
        <v>22204</v>
      </c>
      <c r="B31" s="246" t="s">
        <v>128</v>
      </c>
      <c r="C31" s="246"/>
      <c r="D31" s="246"/>
      <c r="E31" s="246"/>
      <c r="F31" s="246"/>
      <c r="G31" s="246"/>
      <c r="H31" s="246"/>
      <c r="I31" s="246"/>
      <c r="J31" s="246"/>
      <c r="K31" s="274">
        <v>6000000</v>
      </c>
      <c r="L31" s="274">
        <f t="shared" ref="L31:P31" si="4">6000000*70%</f>
        <v>4200000</v>
      </c>
      <c r="M31" s="274">
        <f t="shared" si="4"/>
        <v>4200000</v>
      </c>
      <c r="N31" s="274">
        <f t="shared" si="4"/>
        <v>4200000</v>
      </c>
      <c r="O31" s="274">
        <f t="shared" si="4"/>
        <v>4200000</v>
      </c>
      <c r="P31" s="274">
        <f t="shared" si="4"/>
        <v>4200000</v>
      </c>
      <c r="Q31" s="274">
        <v>14200000</v>
      </c>
      <c r="R31" s="853">
        <v>14200000</v>
      </c>
      <c r="S31" s="246">
        <f t="shared" si="0"/>
        <v>0</v>
      </c>
    </row>
    <row r="32" spans="1:19" ht="24.95" customHeight="1">
      <c r="A32" s="392">
        <v>22205</v>
      </c>
      <c r="B32" s="246" t="s">
        <v>134</v>
      </c>
      <c r="C32" s="246">
        <v>4000000</v>
      </c>
      <c r="D32" s="246">
        <v>2000000</v>
      </c>
      <c r="E32" s="246">
        <v>0</v>
      </c>
      <c r="F32" s="246">
        <v>0</v>
      </c>
      <c r="G32" s="246">
        <v>0</v>
      </c>
      <c r="H32" s="246">
        <v>200000000</v>
      </c>
      <c r="I32" s="246">
        <v>200000000</v>
      </c>
      <c r="J32" s="246">
        <v>200000000</v>
      </c>
      <c r="K32" s="279">
        <v>0</v>
      </c>
      <c r="L32" s="279">
        <v>0</v>
      </c>
      <c r="M32" s="279">
        <v>0</v>
      </c>
      <c r="N32" s="279">
        <v>0</v>
      </c>
      <c r="O32" s="279">
        <v>0</v>
      </c>
      <c r="P32" s="279">
        <v>0</v>
      </c>
      <c r="Q32" s="279">
        <v>0</v>
      </c>
      <c r="R32" s="850">
        <v>0</v>
      </c>
      <c r="S32" s="246">
        <f t="shared" si="0"/>
        <v>0</v>
      </c>
    </row>
    <row r="33" spans="1:19" ht="24.95" customHeight="1">
      <c r="A33" s="392"/>
      <c r="B33" s="280" t="s">
        <v>92</v>
      </c>
      <c r="C33" s="246">
        <v>10089000</v>
      </c>
      <c r="D33" s="246">
        <v>10004000</v>
      </c>
      <c r="E33" s="246">
        <v>20004000</v>
      </c>
      <c r="F33" s="246">
        <v>20004000</v>
      </c>
      <c r="G33" s="246">
        <v>40003200</v>
      </c>
      <c r="H33" s="246">
        <v>100000000</v>
      </c>
      <c r="I33" s="246">
        <v>100000000</v>
      </c>
      <c r="J33" s="246">
        <v>100000000</v>
      </c>
      <c r="K33" s="280">
        <f t="shared" ref="K33:P33" si="5">SUM(K28:K32)</f>
        <v>252204000</v>
      </c>
      <c r="L33" s="280">
        <f t="shared" si="5"/>
        <v>176542800</v>
      </c>
      <c r="M33" s="280">
        <f t="shared" si="5"/>
        <v>146274240</v>
      </c>
      <c r="N33" s="280">
        <f t="shared" si="5"/>
        <v>146274240</v>
      </c>
      <c r="O33" s="280">
        <f t="shared" si="5"/>
        <v>208274240</v>
      </c>
      <c r="P33" s="280">
        <f t="shared" si="5"/>
        <v>278274240</v>
      </c>
      <c r="Q33" s="280">
        <f>SUM(Q28:Q32)</f>
        <v>478274240</v>
      </c>
      <c r="R33" s="851">
        <f>SUM(R28:R32)</f>
        <v>558200000</v>
      </c>
      <c r="S33" s="280">
        <f t="shared" si="0"/>
        <v>79925760</v>
      </c>
    </row>
    <row r="34" spans="1:19" ht="24.95" customHeight="1">
      <c r="A34" s="476">
        <v>2230</v>
      </c>
      <c r="B34" s="280" t="s">
        <v>130</v>
      </c>
      <c r="C34" s="246">
        <v>0</v>
      </c>
      <c r="D34" s="246">
        <v>0</v>
      </c>
      <c r="E34" s="246">
        <v>0</v>
      </c>
      <c r="F34" s="246">
        <v>0</v>
      </c>
      <c r="G34" s="246">
        <v>0</v>
      </c>
      <c r="H34" s="246">
        <v>616200000</v>
      </c>
      <c r="I34" s="246">
        <v>616200000</v>
      </c>
      <c r="J34" s="246">
        <v>616200000</v>
      </c>
      <c r="K34" s="246"/>
      <c r="L34" s="246"/>
      <c r="M34" s="246"/>
      <c r="N34" s="246"/>
      <c r="O34" s="246"/>
      <c r="P34" s="246"/>
      <c r="Q34" s="246"/>
      <c r="R34" s="840"/>
      <c r="S34" s="246">
        <f t="shared" si="0"/>
        <v>0</v>
      </c>
    </row>
    <row r="35" spans="1:19" ht="24.95" customHeight="1">
      <c r="A35" s="392">
        <v>22301</v>
      </c>
      <c r="B35" s="246" t="s">
        <v>49</v>
      </c>
      <c r="C35" s="246">
        <v>13333000</v>
      </c>
      <c r="D35" s="246">
        <v>5000000</v>
      </c>
      <c r="E35" s="246">
        <v>0</v>
      </c>
      <c r="F35" s="246">
        <v>0</v>
      </c>
      <c r="G35" s="246">
        <v>0</v>
      </c>
      <c r="H35" s="246">
        <v>100000000</v>
      </c>
      <c r="I35" s="246">
        <v>70000000</v>
      </c>
      <c r="J35" s="246">
        <v>70000000</v>
      </c>
      <c r="K35" s="246">
        <v>26896000</v>
      </c>
      <c r="L35" s="246">
        <f>26896000*70%</f>
        <v>18827200</v>
      </c>
      <c r="M35" s="246">
        <f>26896000*70%</f>
        <v>18827200</v>
      </c>
      <c r="N35" s="246">
        <f>26896000*70%</f>
        <v>18827200</v>
      </c>
      <c r="O35" s="246">
        <f>26896000*70%</f>
        <v>18827200</v>
      </c>
      <c r="P35" s="246">
        <v>28827200</v>
      </c>
      <c r="Q35" s="246">
        <v>43827200</v>
      </c>
      <c r="R35" s="840">
        <v>43827200</v>
      </c>
      <c r="S35" s="246">
        <f t="shared" si="0"/>
        <v>0</v>
      </c>
    </row>
    <row r="36" spans="1:19" ht="24.95" customHeight="1">
      <c r="A36" s="392">
        <v>22302</v>
      </c>
      <c r="B36" s="246" t="s">
        <v>249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10000000</v>
      </c>
      <c r="L36" s="246">
        <f>10000000*70%</f>
        <v>7000000</v>
      </c>
      <c r="M36" s="246">
        <f>10000000*70%</f>
        <v>7000000</v>
      </c>
      <c r="N36" s="246">
        <v>157000000</v>
      </c>
      <c r="O36" s="246">
        <v>7000000</v>
      </c>
      <c r="P36" s="246">
        <v>7000000</v>
      </c>
      <c r="Q36" s="246">
        <v>7000000</v>
      </c>
      <c r="R36" s="840">
        <v>7000000</v>
      </c>
      <c r="S36" s="246">
        <f t="shared" si="0"/>
        <v>0</v>
      </c>
    </row>
    <row r="37" spans="1:19" ht="24.95" customHeight="1">
      <c r="A37" s="392">
        <v>22313</v>
      </c>
      <c r="B37" s="246" t="s">
        <v>251</v>
      </c>
      <c r="C37" s="280">
        <f t="shared" ref="C37:J37" si="6">SUM(C35:C36)</f>
        <v>13333000</v>
      </c>
      <c r="D37" s="280">
        <f t="shared" si="6"/>
        <v>5000000</v>
      </c>
      <c r="E37" s="280">
        <f t="shared" si="6"/>
        <v>0</v>
      </c>
      <c r="F37" s="280">
        <f t="shared" si="6"/>
        <v>0</v>
      </c>
      <c r="G37" s="280">
        <f t="shared" si="6"/>
        <v>0</v>
      </c>
      <c r="H37" s="280">
        <f t="shared" si="6"/>
        <v>100000000</v>
      </c>
      <c r="I37" s="280">
        <f t="shared" si="6"/>
        <v>70000000</v>
      </c>
      <c r="J37" s="280">
        <f t="shared" si="6"/>
        <v>70000000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840">
        <v>0</v>
      </c>
      <c r="S37" s="246">
        <f t="shared" si="0"/>
        <v>0</v>
      </c>
    </row>
    <row r="38" spans="1:19" ht="24.95" customHeight="1">
      <c r="A38" s="392"/>
      <c r="B38" s="280" t="s">
        <v>92</v>
      </c>
      <c r="C38" s="280" t="e">
        <f>C37+#REF!+C31+C19+#REF!</f>
        <v>#REF!</v>
      </c>
      <c r="D38" s="280" t="e">
        <f>D37+#REF!+D31+D19+#REF!</f>
        <v>#REF!</v>
      </c>
      <c r="E38" s="280" t="e">
        <f>E37+#REF!+E31+E19+#REF!</f>
        <v>#REF!</v>
      </c>
      <c r="F38" s="280" t="e">
        <f>F37+#REF!+F31+F19+#REF!</f>
        <v>#REF!</v>
      </c>
      <c r="G38" s="280" t="e">
        <f>G37+#REF!+G19+G31+#REF!</f>
        <v>#REF!</v>
      </c>
      <c r="H38" s="280" t="e">
        <f>H37+#REF!+H31+H19+#REF!</f>
        <v>#REF!</v>
      </c>
      <c r="I38" s="280" t="e">
        <f>I37+#REF!+I31+I19+#REF!</f>
        <v>#REF!</v>
      </c>
      <c r="J38" s="280" t="e">
        <f>SUM(#REF!+J19+J31+J37)</f>
        <v>#REF!</v>
      </c>
      <c r="K38" s="280">
        <f t="shared" ref="K38:O38" si="7">SUM(K35:K37)</f>
        <v>36896000</v>
      </c>
      <c r="L38" s="280">
        <f t="shared" si="7"/>
        <v>25827200</v>
      </c>
      <c r="M38" s="280">
        <f t="shared" si="7"/>
        <v>25827200</v>
      </c>
      <c r="N38" s="280">
        <f t="shared" si="7"/>
        <v>175827200</v>
      </c>
      <c r="O38" s="280">
        <f t="shared" si="7"/>
        <v>25827200</v>
      </c>
      <c r="P38" s="280">
        <f>SUM(P35:P37)</f>
        <v>35827200</v>
      </c>
      <c r="Q38" s="280">
        <f>SUM(Q35:Q37)</f>
        <v>50827200</v>
      </c>
      <c r="R38" s="851">
        <f>SUM(R35:R37)</f>
        <v>50827200</v>
      </c>
      <c r="S38" s="280">
        <f t="shared" si="0"/>
        <v>0</v>
      </c>
    </row>
    <row r="39" spans="1:19" ht="24.95" customHeight="1">
      <c r="A39" s="392"/>
      <c r="B39" s="280" t="s">
        <v>92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851"/>
      <c r="S39" s="246">
        <f t="shared" si="0"/>
        <v>0</v>
      </c>
    </row>
    <row r="40" spans="1:19" ht="24.95" customHeight="1">
      <c r="A40" s="476">
        <v>270</v>
      </c>
      <c r="B40" s="280" t="s">
        <v>253</v>
      </c>
      <c r="C40" s="246"/>
      <c r="D40" s="246"/>
      <c r="E40" s="246"/>
      <c r="F40" s="246"/>
      <c r="G40" s="246"/>
      <c r="H40" s="246"/>
      <c r="I40" s="246"/>
      <c r="J40" s="246"/>
      <c r="K40" s="280"/>
      <c r="L40" s="280"/>
      <c r="M40" s="280"/>
      <c r="N40" s="280"/>
      <c r="O40" s="280"/>
      <c r="P40" s="280"/>
      <c r="Q40" s="280"/>
      <c r="R40" s="851"/>
      <c r="S40" s="246">
        <f t="shared" si="0"/>
        <v>0</v>
      </c>
    </row>
    <row r="41" spans="1:19" ht="24.95" customHeight="1">
      <c r="A41" s="476">
        <v>2710</v>
      </c>
      <c r="B41" s="280" t="s">
        <v>252</v>
      </c>
      <c r="C41" s="246"/>
      <c r="D41" s="246"/>
      <c r="E41" s="246"/>
      <c r="F41" s="246"/>
      <c r="G41" s="246"/>
      <c r="H41" s="246"/>
      <c r="I41" s="246"/>
      <c r="J41" s="246"/>
      <c r="K41" s="280"/>
      <c r="L41" s="280"/>
      <c r="M41" s="280"/>
      <c r="N41" s="280"/>
      <c r="O41" s="280"/>
      <c r="P41" s="280"/>
      <c r="Q41" s="280"/>
      <c r="R41" s="851"/>
      <c r="S41" s="246">
        <f t="shared" si="0"/>
        <v>0</v>
      </c>
    </row>
    <row r="42" spans="1:19" ht="24.95" customHeight="1">
      <c r="A42" s="392">
        <v>27601</v>
      </c>
      <c r="B42" s="246" t="s">
        <v>1249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>
        <v>30000000</v>
      </c>
      <c r="O42" s="246">
        <v>30000000</v>
      </c>
      <c r="P42" s="246">
        <v>15000000</v>
      </c>
      <c r="Q42" s="246">
        <v>250000000</v>
      </c>
      <c r="R42" s="840">
        <v>0</v>
      </c>
      <c r="S42" s="246">
        <f t="shared" si="0"/>
        <v>-250000000</v>
      </c>
    </row>
    <row r="43" spans="1:19" ht="24.95" customHeight="1">
      <c r="A43" s="392">
        <v>27402</v>
      </c>
      <c r="B43" s="246" t="s">
        <v>879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>
        <v>0</v>
      </c>
      <c r="O43" s="246">
        <v>76500000</v>
      </c>
      <c r="P43" s="246">
        <v>120000000</v>
      </c>
      <c r="Q43" s="246">
        <v>142000000</v>
      </c>
      <c r="R43" s="840">
        <v>150000000</v>
      </c>
      <c r="S43" s="246">
        <f t="shared" si="0"/>
        <v>8000000</v>
      </c>
    </row>
    <row r="44" spans="1:19" ht="24.95" customHeight="1">
      <c r="A44" s="392">
        <v>27502</v>
      </c>
      <c r="B44" s="246" t="s">
        <v>148</v>
      </c>
      <c r="C44" s="246"/>
      <c r="D44" s="246"/>
      <c r="E44" s="246"/>
      <c r="F44" s="246"/>
      <c r="G44" s="246"/>
      <c r="H44" s="246"/>
      <c r="I44" s="246"/>
      <c r="J44" s="246"/>
      <c r="K44" s="246">
        <v>6000000</v>
      </c>
      <c r="L44" s="246">
        <f>6000000*70%</f>
        <v>4200000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840">
        <v>0</v>
      </c>
      <c r="S44" s="246">
        <f t="shared" si="0"/>
        <v>0</v>
      </c>
    </row>
    <row r="45" spans="1:19" ht="24.95" customHeight="1">
      <c r="A45" s="392">
        <v>27604</v>
      </c>
      <c r="B45" s="246" t="s">
        <v>149</v>
      </c>
      <c r="C45" s="246"/>
      <c r="D45" s="246"/>
      <c r="E45" s="246"/>
      <c r="F45" s="246"/>
      <c r="G45" s="246"/>
      <c r="H45" s="246"/>
      <c r="I45" s="246"/>
      <c r="J45" s="246"/>
      <c r="K45" s="246">
        <v>6000000</v>
      </c>
      <c r="L45" s="246">
        <f>6000000*70%</f>
        <v>4200000</v>
      </c>
      <c r="M45" s="246">
        <v>0</v>
      </c>
      <c r="N45" s="246">
        <v>0</v>
      </c>
      <c r="O45" s="246">
        <v>0</v>
      </c>
      <c r="P45" s="246">
        <v>0</v>
      </c>
      <c r="Q45" s="246">
        <v>0</v>
      </c>
      <c r="R45" s="840">
        <v>0</v>
      </c>
      <c r="S45" s="246">
        <f t="shared" si="0"/>
        <v>0</v>
      </c>
    </row>
    <row r="46" spans="1:19" ht="24.95" customHeight="1">
      <c r="A46" s="392"/>
      <c r="B46" s="280" t="s">
        <v>92</v>
      </c>
      <c r="C46" s="246"/>
      <c r="D46" s="246"/>
      <c r="E46" s="246"/>
      <c r="F46" s="246"/>
      <c r="G46" s="246"/>
      <c r="H46" s="246"/>
      <c r="I46" s="246"/>
      <c r="J46" s="246"/>
      <c r="K46" s="280">
        <f>SUM(K44:K45)</f>
        <v>12000000</v>
      </c>
      <c r="L46" s="280">
        <f>SUM(L44:L45)</f>
        <v>8400000</v>
      </c>
      <c r="M46" s="280">
        <f>SUM(M44:M45)</f>
        <v>0</v>
      </c>
      <c r="N46" s="280">
        <f>SUM(N42:N45)</f>
        <v>30000000</v>
      </c>
      <c r="O46" s="280">
        <f>SUM(O42:O45)</f>
        <v>106500000</v>
      </c>
      <c r="P46" s="280">
        <f>SUM(P42:P45)</f>
        <v>135000000</v>
      </c>
      <c r="Q46" s="280">
        <f>SUM(Q42:Q45)</f>
        <v>392000000</v>
      </c>
      <c r="R46" s="851">
        <f>SUM(R42:R45)</f>
        <v>150000000</v>
      </c>
      <c r="S46" s="280">
        <f t="shared" si="0"/>
        <v>-242000000</v>
      </c>
    </row>
    <row r="47" spans="1:19" ht="24.95" customHeight="1">
      <c r="A47" s="392"/>
      <c r="B47" s="280" t="s">
        <v>37</v>
      </c>
      <c r="C47" s="246"/>
      <c r="D47" s="246"/>
      <c r="E47" s="246"/>
      <c r="F47" s="246"/>
      <c r="G47" s="246"/>
      <c r="H47" s="246"/>
      <c r="I47" s="246"/>
      <c r="J47" s="246"/>
      <c r="K47" s="280">
        <f t="shared" ref="K47:P47" si="8">K10+K26+K33+K38+K46</f>
        <v>1114391200</v>
      </c>
      <c r="L47" s="280">
        <f t="shared" si="8"/>
        <v>1191980080</v>
      </c>
      <c r="M47" s="280">
        <f t="shared" si="8"/>
        <v>1662712120</v>
      </c>
      <c r="N47" s="280">
        <f t="shared" si="8"/>
        <v>1952840120</v>
      </c>
      <c r="O47" s="280">
        <f t="shared" si="8"/>
        <v>2265184120</v>
      </c>
      <c r="P47" s="280">
        <f t="shared" si="8"/>
        <v>2506750160</v>
      </c>
      <c r="Q47" s="280">
        <f>Q10+Q26+Q33+Q38+Q46</f>
        <v>4992726480</v>
      </c>
      <c r="R47" s="851">
        <f>R10+R26+R33+R38+R46</f>
        <v>5656270784</v>
      </c>
      <c r="S47" s="280">
        <f t="shared" si="0"/>
        <v>663544304</v>
      </c>
    </row>
    <row r="48" spans="1:19" ht="24.95" customHeight="1">
      <c r="A48" s="507"/>
      <c r="B48" s="508"/>
      <c r="C48" s="508"/>
      <c r="D48" s="508"/>
      <c r="E48" s="508"/>
      <c r="F48" s="508"/>
      <c r="G48" s="508"/>
      <c r="H48" s="508"/>
      <c r="I48" s="508"/>
      <c r="J48" s="508"/>
      <c r="K48" s="509"/>
      <c r="L48" s="509"/>
      <c r="M48" s="509"/>
      <c r="N48" s="509"/>
    </row>
  </sheetData>
  <phoneticPr fontId="0" type="noConversion"/>
  <printOptions gridLines="1"/>
  <pageMargins left="0.76" right="0.26" top="0.79" bottom="0.64" header="0.25" footer="0.27"/>
  <pageSetup scale="55" orientation="portrait" r:id="rId1"/>
  <headerFooter alignWithMargins="0">
    <oddHeader xml:space="preserve">&amp;C&amp;"Algerian,Bold"&amp;36Maxkamada Sare </oddHeader>
    <oddFooter>&amp;R&amp;"Times New Roman,Bold"&amp;14 &amp;16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1"/>
  <sheetViews>
    <sheetView view="pageBreakPreview" topLeftCell="A28" zoomScale="60" workbookViewId="0">
      <selection activeCell="R50" sqref="R50"/>
    </sheetView>
  </sheetViews>
  <sheetFormatPr defaultRowHeight="26.1" customHeight="1"/>
  <cols>
    <col min="1" max="1" width="16.6640625" style="516" bestFit="1" customWidth="1"/>
    <col min="2" max="2" width="92.5" style="512" customWidth="1"/>
    <col min="3" max="3" width="16" style="512" hidden="1" customWidth="1"/>
    <col min="4" max="4" width="17.1640625" style="512" hidden="1" customWidth="1"/>
    <col min="5" max="5" width="18" style="512" hidden="1" customWidth="1"/>
    <col min="6" max="6" width="16.5" style="512" hidden="1" customWidth="1"/>
    <col min="7" max="7" width="20.6640625" style="512" hidden="1" customWidth="1"/>
    <col min="8" max="10" width="20.5" style="512" hidden="1" customWidth="1"/>
    <col min="11" max="11" width="29.33203125" style="512" hidden="1" customWidth="1"/>
    <col min="12" max="12" width="27.83203125" style="512" hidden="1" customWidth="1"/>
    <col min="13" max="13" width="0.1640625" style="512" hidden="1" customWidth="1"/>
    <col min="14" max="14" width="30.6640625" style="512" hidden="1" customWidth="1"/>
    <col min="15" max="16" width="27.6640625" style="512" hidden="1" customWidth="1"/>
    <col min="17" max="18" width="27.6640625" style="512" customWidth="1"/>
    <col min="19" max="19" width="26.33203125" style="512" customWidth="1"/>
    <col min="20" max="16384" width="9.33203125" style="512"/>
  </cols>
  <sheetData>
    <row r="1" spans="1:19" ht="26.1" customHeight="1">
      <c r="A1" s="476" t="s">
        <v>39</v>
      </c>
      <c r="B1" s="303" t="s">
        <v>1312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s="513" customFormat="1" ht="26.1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107</v>
      </c>
      <c r="K2" s="286" t="s">
        <v>138</v>
      </c>
      <c r="L2" s="286" t="s">
        <v>260</v>
      </c>
      <c r="M2" s="286" t="s">
        <v>442</v>
      </c>
      <c r="N2" s="286" t="s">
        <v>805</v>
      </c>
      <c r="O2" s="286" t="s">
        <v>871</v>
      </c>
      <c r="P2" s="286" t="s">
        <v>972</v>
      </c>
      <c r="Q2" s="286" t="s">
        <v>1159</v>
      </c>
      <c r="R2" s="286" t="s">
        <v>1319</v>
      </c>
      <c r="S2" s="286" t="s">
        <v>56</v>
      </c>
    </row>
    <row r="3" spans="1:19" ht="26.1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46"/>
    </row>
    <row r="4" spans="1:19" ht="26.1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>
        <f>170726400+3198000</f>
        <v>173924400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6.1" customHeight="1">
      <c r="A5" s="392">
        <v>21101</v>
      </c>
      <c r="B5" s="246" t="s">
        <v>28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171974400</v>
      </c>
      <c r="L5" s="246">
        <f>shaqaalaha2011!H8+101712000+20373600</f>
        <v>338395200</v>
      </c>
      <c r="M5" s="246">
        <v>224608800</v>
      </c>
      <c r="N5" s="246">
        <v>504691200</v>
      </c>
      <c r="O5" s="246">
        <v>976285440</v>
      </c>
      <c r="P5" s="246">
        <v>1008633600</v>
      </c>
      <c r="Q5" s="246">
        <v>1165020480</v>
      </c>
      <c r="R5" s="246">
        <v>1541517120</v>
      </c>
      <c r="S5" s="246">
        <f>R5-Q5</f>
        <v>376496640</v>
      </c>
    </row>
    <row r="6" spans="1:19" ht="26.1" customHeight="1">
      <c r="A6" s="392">
        <v>21102</v>
      </c>
      <c r="B6" s="304" t="s">
        <v>29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f>2535276000+2400000</f>
        <v>2537676000</v>
      </c>
      <c r="K6" s="246">
        <v>0</v>
      </c>
      <c r="L6" s="246">
        <v>0</v>
      </c>
      <c r="M6" s="246">
        <v>331137600</v>
      </c>
      <c r="N6" s="246">
        <v>361651200</v>
      </c>
      <c r="O6" s="246">
        <v>97200000</v>
      </c>
      <c r="P6" s="246">
        <v>97200000</v>
      </c>
      <c r="Q6" s="246">
        <v>145800000</v>
      </c>
      <c r="R6" s="246">
        <v>145800000</v>
      </c>
      <c r="S6" s="246">
        <f t="shared" ref="S6:S50" si="0">R6-Q6</f>
        <v>0</v>
      </c>
    </row>
    <row r="7" spans="1:19" ht="26.1" customHeight="1">
      <c r="A7" s="392">
        <v>21103</v>
      </c>
      <c r="B7" s="246" t="s">
        <v>808</v>
      </c>
      <c r="C7" s="246"/>
      <c r="D7" s="246"/>
      <c r="E7" s="246"/>
      <c r="F7" s="246"/>
      <c r="G7" s="246"/>
      <c r="H7" s="246"/>
      <c r="I7" s="246"/>
      <c r="J7" s="246"/>
      <c r="K7" s="246">
        <v>349956000</v>
      </c>
      <c r="L7" s="246">
        <f>411400000+3600000</f>
        <v>415000000</v>
      </c>
      <c r="M7" s="246">
        <v>757224000</v>
      </c>
      <c r="N7" s="246">
        <v>828288000</v>
      </c>
      <c r="O7" s="246">
        <v>1041840000</v>
      </c>
      <c r="P7" s="246">
        <v>1297704000</v>
      </c>
      <c r="Q7" s="282">
        <v>2175480000</v>
      </c>
      <c r="R7" s="282">
        <v>2748528000</v>
      </c>
      <c r="S7" s="246">
        <f t="shared" si="0"/>
        <v>573048000</v>
      </c>
    </row>
    <row r="8" spans="1:19" ht="26.1" customHeight="1">
      <c r="A8" s="392">
        <v>21104</v>
      </c>
      <c r="B8" s="246" t="s">
        <v>819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>
        <v>50400000</v>
      </c>
      <c r="O8" s="246">
        <v>43200000</v>
      </c>
      <c r="P8" s="246">
        <v>43200000</v>
      </c>
      <c r="Q8" s="246">
        <v>64800000</v>
      </c>
      <c r="R8" s="246">
        <v>64800000</v>
      </c>
      <c r="S8" s="246">
        <f t="shared" si="0"/>
        <v>0</v>
      </c>
    </row>
    <row r="9" spans="1:19" ht="26.1" customHeight="1">
      <c r="A9" s="392">
        <v>21105</v>
      </c>
      <c r="B9" s="246" t="s">
        <v>524</v>
      </c>
      <c r="C9" s="246">
        <v>2500000</v>
      </c>
      <c r="D9" s="246">
        <v>2000000</v>
      </c>
      <c r="E9" s="246">
        <v>2000000</v>
      </c>
      <c r="F9" s="246">
        <v>2000000</v>
      </c>
      <c r="G9" s="246">
        <v>1600000</v>
      </c>
      <c r="H9" s="246">
        <v>41000000</v>
      </c>
      <c r="I9" s="246">
        <v>41000000</v>
      </c>
      <c r="J9" s="246"/>
      <c r="K9" s="246">
        <v>64800000</v>
      </c>
      <c r="L9" s="246">
        <v>75600000</v>
      </c>
      <c r="M9" s="246">
        <f>L9</f>
        <v>75600000</v>
      </c>
      <c r="N9" s="246">
        <f>M9</f>
        <v>75600000</v>
      </c>
      <c r="O9" s="246">
        <v>453600000</v>
      </c>
      <c r="P9" s="246">
        <v>488400000</v>
      </c>
      <c r="Q9" s="282">
        <v>1027800000</v>
      </c>
      <c r="R9" s="282">
        <v>1234800000</v>
      </c>
      <c r="S9" s="246">
        <f t="shared" si="0"/>
        <v>207000000</v>
      </c>
    </row>
    <row r="10" spans="1:19" ht="26.1" customHeight="1">
      <c r="A10" s="476">
        <v>2120</v>
      </c>
      <c r="B10" s="280" t="s">
        <v>218</v>
      </c>
      <c r="C10" s="246"/>
      <c r="D10" s="246"/>
      <c r="E10" s="246"/>
      <c r="F10" s="246"/>
      <c r="G10" s="246"/>
      <c r="H10" s="246"/>
      <c r="I10" s="246"/>
      <c r="J10" s="246"/>
      <c r="K10" s="280"/>
      <c r="L10" s="280"/>
      <c r="M10" s="280"/>
      <c r="N10" s="280"/>
      <c r="O10" s="280"/>
      <c r="P10" s="280"/>
      <c r="Q10" s="280"/>
      <c r="R10" s="280"/>
      <c r="S10" s="246">
        <f t="shared" si="0"/>
        <v>0</v>
      </c>
    </row>
    <row r="11" spans="1:19" ht="26.1" customHeight="1">
      <c r="A11" s="392"/>
      <c r="B11" s="280" t="s">
        <v>92</v>
      </c>
      <c r="C11" s="246">
        <v>11878000</v>
      </c>
      <c r="D11" s="246">
        <f>2000000+2000000</f>
        <v>4000000</v>
      </c>
      <c r="E11" s="246">
        <v>2000000</v>
      </c>
      <c r="F11" s="246">
        <v>2000000</v>
      </c>
      <c r="G11" s="246">
        <v>1600000</v>
      </c>
      <c r="H11" s="246">
        <v>30000000</v>
      </c>
      <c r="I11" s="246">
        <v>60000000</v>
      </c>
      <c r="J11" s="246">
        <v>50000000</v>
      </c>
      <c r="K11" s="280">
        <f t="shared" ref="K11:O11" si="1">SUM(K5:K10)</f>
        <v>586730400</v>
      </c>
      <c r="L11" s="286">
        <f t="shared" si="1"/>
        <v>828995200</v>
      </c>
      <c r="M11" s="286">
        <f t="shared" si="1"/>
        <v>1388570400</v>
      </c>
      <c r="N11" s="286">
        <f t="shared" si="1"/>
        <v>1820630400</v>
      </c>
      <c r="O11" s="286">
        <f t="shared" si="1"/>
        <v>2612125440</v>
      </c>
      <c r="P11" s="286">
        <f>SUM(P5:P10)</f>
        <v>2935137600</v>
      </c>
      <c r="Q11" s="286">
        <f>SUM(Q5:Q10)</f>
        <v>4578900480</v>
      </c>
      <c r="R11" s="286">
        <f>SUM(R5:R10)</f>
        <v>5735445120</v>
      </c>
      <c r="S11" s="280">
        <f t="shared" si="0"/>
        <v>1156544640</v>
      </c>
    </row>
    <row r="12" spans="1:19" ht="26.1" customHeight="1">
      <c r="A12" s="476">
        <v>220</v>
      </c>
      <c r="B12" s="280" t="s">
        <v>225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200000000</v>
      </c>
      <c r="I12" s="246">
        <v>200000000</v>
      </c>
      <c r="J12" s="246">
        <v>280000000</v>
      </c>
      <c r="K12" s="246"/>
      <c r="L12" s="246"/>
      <c r="M12" s="246"/>
      <c r="N12" s="246"/>
      <c r="O12" s="246"/>
      <c r="P12" s="246"/>
      <c r="Q12" s="246"/>
      <c r="R12" s="246"/>
      <c r="S12" s="246">
        <f t="shared" si="0"/>
        <v>0</v>
      </c>
    </row>
    <row r="13" spans="1:19" ht="26.1" customHeight="1">
      <c r="A13" s="476">
        <v>2210</v>
      </c>
      <c r="B13" s="280" t="s">
        <v>226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>
        <f t="shared" si="0"/>
        <v>0</v>
      </c>
    </row>
    <row r="14" spans="1:19" ht="26.1" customHeight="1">
      <c r="A14" s="392">
        <v>22101</v>
      </c>
      <c r="B14" s="246" t="s">
        <v>33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356850000</v>
      </c>
      <c r="I14" s="246">
        <v>0</v>
      </c>
      <c r="J14" s="246">
        <v>84000000</v>
      </c>
      <c r="K14" s="246">
        <v>13406400</v>
      </c>
      <c r="L14" s="246">
        <f>20000000*70%</f>
        <v>14000000</v>
      </c>
      <c r="M14" s="246">
        <v>74000000</v>
      </c>
      <c r="N14" s="246">
        <v>74000000</v>
      </c>
      <c r="O14" s="246">
        <v>74000000</v>
      </c>
      <c r="P14" s="246">
        <v>74000000</v>
      </c>
      <c r="Q14" s="246">
        <v>74000000</v>
      </c>
      <c r="R14" s="840">
        <v>100000000</v>
      </c>
      <c r="S14" s="246">
        <f t="shared" si="0"/>
        <v>26000000</v>
      </c>
    </row>
    <row r="15" spans="1:19" ht="26.1" customHeight="1">
      <c r="A15" s="392">
        <v>22102</v>
      </c>
      <c r="B15" s="246" t="s">
        <v>124</v>
      </c>
      <c r="C15" s="246">
        <v>1500000</v>
      </c>
      <c r="D15" s="246">
        <v>5500000</v>
      </c>
      <c r="E15" s="246">
        <v>500000</v>
      </c>
      <c r="F15" s="246">
        <v>500000</v>
      </c>
      <c r="G15" s="246">
        <v>400000</v>
      </c>
      <c r="H15" s="246">
        <v>12000000</v>
      </c>
      <c r="I15" s="246">
        <v>20000000</v>
      </c>
      <c r="J15" s="246">
        <v>20000000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840">
        <v>0</v>
      </c>
      <c r="S15" s="246">
        <f t="shared" si="0"/>
        <v>0</v>
      </c>
    </row>
    <row r="16" spans="1:19" ht="26.1" customHeight="1">
      <c r="A16" s="392">
        <v>22103</v>
      </c>
      <c r="B16" s="246" t="s">
        <v>125</v>
      </c>
      <c r="C16" s="246"/>
      <c r="D16" s="246"/>
      <c r="E16" s="246"/>
      <c r="F16" s="246"/>
      <c r="G16" s="246"/>
      <c r="H16" s="246"/>
      <c r="I16" s="246"/>
      <c r="J16" s="246"/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840">
        <v>0</v>
      </c>
      <c r="S16" s="246">
        <f t="shared" si="0"/>
        <v>0</v>
      </c>
    </row>
    <row r="17" spans="1:19" ht="26.1" customHeight="1">
      <c r="A17" s="392">
        <v>22104</v>
      </c>
      <c r="B17" s="246" t="s">
        <v>157</v>
      </c>
      <c r="C17" s="246"/>
      <c r="D17" s="246"/>
      <c r="E17" s="246"/>
      <c r="F17" s="246"/>
      <c r="G17" s="246"/>
      <c r="H17" s="246"/>
      <c r="I17" s="246"/>
      <c r="J17" s="246"/>
      <c r="K17" s="246">
        <v>16448000</v>
      </c>
      <c r="L17" s="246">
        <f>25000000*70%</f>
        <v>17500000</v>
      </c>
      <c r="M17" s="246">
        <f>25000000*70%</f>
        <v>17500000</v>
      </c>
      <c r="N17" s="246">
        <f>25000000*70%</f>
        <v>17500000</v>
      </c>
      <c r="O17" s="246">
        <v>27500000</v>
      </c>
      <c r="P17" s="246">
        <v>27500000</v>
      </c>
      <c r="Q17" s="246">
        <v>27500000</v>
      </c>
      <c r="R17" s="840">
        <v>50000000</v>
      </c>
      <c r="S17" s="246">
        <f t="shared" si="0"/>
        <v>22500000</v>
      </c>
    </row>
    <row r="18" spans="1:19" ht="26.1" customHeight="1">
      <c r="A18" s="392">
        <v>22105</v>
      </c>
      <c r="B18" s="246" t="s">
        <v>135</v>
      </c>
      <c r="C18" s="246"/>
      <c r="D18" s="246"/>
      <c r="E18" s="246"/>
      <c r="F18" s="246"/>
      <c r="G18" s="246"/>
      <c r="H18" s="246"/>
      <c r="I18" s="246"/>
      <c r="J18" s="246"/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840">
        <v>0</v>
      </c>
      <c r="S18" s="246">
        <f t="shared" si="0"/>
        <v>0</v>
      </c>
    </row>
    <row r="19" spans="1:19" ht="26.1" customHeight="1">
      <c r="A19" s="392">
        <v>22106</v>
      </c>
      <c r="B19" s="246" t="s">
        <v>126</v>
      </c>
      <c r="C19" s="246">
        <v>2500000</v>
      </c>
      <c r="D19" s="246">
        <v>2000000</v>
      </c>
      <c r="E19" s="246">
        <v>2000000</v>
      </c>
      <c r="F19" s="246">
        <v>2000000</v>
      </c>
      <c r="G19" s="246">
        <v>1600000</v>
      </c>
      <c r="H19" s="246">
        <v>41000000</v>
      </c>
      <c r="I19" s="246">
        <v>41000000</v>
      </c>
      <c r="J19" s="246">
        <v>31000000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840">
        <v>0</v>
      </c>
      <c r="S19" s="246">
        <f t="shared" si="0"/>
        <v>0</v>
      </c>
    </row>
    <row r="20" spans="1:19" ht="26.1" customHeight="1">
      <c r="A20" s="392">
        <v>22107</v>
      </c>
      <c r="B20" s="246" t="s">
        <v>48</v>
      </c>
      <c r="C20" s="246">
        <f t="shared" ref="C20:J20" si="2">SUM(C14:C19)</f>
        <v>4000000</v>
      </c>
      <c r="D20" s="246">
        <f t="shared" si="2"/>
        <v>7500000</v>
      </c>
      <c r="E20" s="246">
        <f t="shared" si="2"/>
        <v>2500000</v>
      </c>
      <c r="F20" s="246">
        <f t="shared" si="2"/>
        <v>2500000</v>
      </c>
      <c r="G20" s="246">
        <f t="shared" si="2"/>
        <v>2000000</v>
      </c>
      <c r="H20" s="246">
        <f t="shared" si="2"/>
        <v>409850000</v>
      </c>
      <c r="I20" s="280">
        <f t="shared" si="2"/>
        <v>61000000</v>
      </c>
      <c r="J20" s="280">
        <f t="shared" si="2"/>
        <v>135000000</v>
      </c>
      <c r="K20" s="246">
        <v>0</v>
      </c>
      <c r="L20" s="246">
        <f>5000000*70%</f>
        <v>3500000</v>
      </c>
      <c r="M20" s="246">
        <v>52450000</v>
      </c>
      <c r="N20" s="246">
        <v>22450000</v>
      </c>
      <c r="O20" s="246">
        <v>22450000</v>
      </c>
      <c r="P20" s="246">
        <v>22450000</v>
      </c>
      <c r="Q20" s="246">
        <v>22450000</v>
      </c>
      <c r="R20" s="840">
        <v>22450000</v>
      </c>
      <c r="S20" s="246">
        <f t="shared" si="0"/>
        <v>0</v>
      </c>
    </row>
    <row r="21" spans="1:19" ht="26.1" customHeight="1">
      <c r="A21" s="392">
        <v>22108</v>
      </c>
      <c r="B21" s="246" t="s">
        <v>93</v>
      </c>
      <c r="C21" s="246"/>
      <c r="D21" s="246"/>
      <c r="E21" s="246"/>
      <c r="F21" s="246"/>
      <c r="G21" s="246"/>
      <c r="H21" s="246"/>
      <c r="I21" s="246"/>
      <c r="J21" s="246"/>
      <c r="K21" s="280">
        <v>0</v>
      </c>
      <c r="L21" s="280">
        <v>0</v>
      </c>
      <c r="M21" s="280">
        <v>0</v>
      </c>
      <c r="N21" s="280">
        <v>0</v>
      </c>
      <c r="O21" s="246">
        <v>15000000</v>
      </c>
      <c r="P21" s="246">
        <v>15000000</v>
      </c>
      <c r="Q21" s="246">
        <v>15000000</v>
      </c>
      <c r="R21" s="840">
        <v>15000000</v>
      </c>
      <c r="S21" s="246">
        <f t="shared" si="0"/>
        <v>0</v>
      </c>
    </row>
    <row r="22" spans="1:19" s="514" customFormat="1" ht="26.1" customHeight="1">
      <c r="A22" s="392">
        <v>22109</v>
      </c>
      <c r="B22" s="246" t="s">
        <v>136</v>
      </c>
      <c r="C22" s="246">
        <v>23000000</v>
      </c>
      <c r="D22" s="246">
        <v>15000000</v>
      </c>
      <c r="E22" s="246">
        <v>8949700</v>
      </c>
      <c r="F22" s="246">
        <v>8949700</v>
      </c>
      <c r="G22" s="246">
        <v>12000000</v>
      </c>
      <c r="H22" s="246">
        <v>80000000</v>
      </c>
      <c r="I22" s="246">
        <v>80000000</v>
      </c>
      <c r="J22" s="246">
        <v>80000000</v>
      </c>
      <c r="K22" s="246">
        <v>3724000</v>
      </c>
      <c r="L22" s="246">
        <f>10000000*70%</f>
        <v>7000000</v>
      </c>
      <c r="M22" s="246">
        <v>27000000</v>
      </c>
      <c r="N22" s="246">
        <v>27000000</v>
      </c>
      <c r="O22" s="246">
        <v>27000000</v>
      </c>
      <c r="P22" s="246">
        <v>27000000</v>
      </c>
      <c r="Q22" s="246">
        <v>27000000</v>
      </c>
      <c r="R22" s="840">
        <v>27000000</v>
      </c>
      <c r="S22" s="246">
        <f t="shared" si="0"/>
        <v>0</v>
      </c>
    </row>
    <row r="23" spans="1:19" ht="26.1" customHeight="1">
      <c r="A23" s="392">
        <v>22112</v>
      </c>
      <c r="B23" s="246" t="s">
        <v>35</v>
      </c>
      <c r="C23" s="246">
        <v>10061000</v>
      </c>
      <c r="D23" s="246">
        <v>2000000</v>
      </c>
      <c r="E23" s="246">
        <v>0</v>
      </c>
      <c r="F23" s="246">
        <v>0</v>
      </c>
      <c r="G23" s="246">
        <v>0</v>
      </c>
      <c r="H23" s="246">
        <v>30000000</v>
      </c>
      <c r="I23" s="246">
        <v>40000000</v>
      </c>
      <c r="J23" s="246">
        <v>30000000</v>
      </c>
      <c r="K23" s="246">
        <v>8468800</v>
      </c>
      <c r="L23" s="246">
        <f t="shared" ref="L23:R23" si="3">25000000*70%</f>
        <v>17500000</v>
      </c>
      <c r="M23" s="246">
        <f t="shared" si="3"/>
        <v>17500000</v>
      </c>
      <c r="N23" s="246">
        <f t="shared" si="3"/>
        <v>17500000</v>
      </c>
      <c r="O23" s="246">
        <f t="shared" si="3"/>
        <v>17500000</v>
      </c>
      <c r="P23" s="246">
        <f t="shared" si="3"/>
        <v>17500000</v>
      </c>
      <c r="Q23" s="246">
        <f t="shared" si="3"/>
        <v>17500000</v>
      </c>
      <c r="R23" s="840">
        <f t="shared" si="3"/>
        <v>17500000</v>
      </c>
      <c r="S23" s="246">
        <f t="shared" si="0"/>
        <v>0</v>
      </c>
    </row>
    <row r="24" spans="1:19" ht="26.1" customHeight="1">
      <c r="A24" s="392">
        <v>22113</v>
      </c>
      <c r="B24" s="246" t="s">
        <v>262</v>
      </c>
      <c r="C24" s="246"/>
      <c r="D24" s="246"/>
      <c r="E24" s="246"/>
      <c r="F24" s="246"/>
      <c r="G24" s="246"/>
      <c r="H24" s="246"/>
      <c r="I24" s="246"/>
      <c r="J24" s="246"/>
      <c r="K24" s="246">
        <v>27344000</v>
      </c>
      <c r="L24" s="246">
        <f>30000000*70%</f>
        <v>21000000</v>
      </c>
      <c r="M24" s="246">
        <f>30000000*70%</f>
        <v>21000000</v>
      </c>
      <c r="N24" s="246">
        <f>30000000*70%</f>
        <v>21000000</v>
      </c>
      <c r="O24" s="246">
        <v>71000000</v>
      </c>
      <c r="P24" s="246">
        <v>71000000</v>
      </c>
      <c r="Q24" s="246">
        <v>71000000</v>
      </c>
      <c r="R24" s="840">
        <v>100000000</v>
      </c>
      <c r="S24" s="246">
        <f t="shared" si="0"/>
        <v>29000000</v>
      </c>
    </row>
    <row r="25" spans="1:19" ht="26.1" customHeight="1">
      <c r="A25" s="392">
        <v>22115</v>
      </c>
      <c r="B25" s="246" t="s">
        <v>263</v>
      </c>
      <c r="C25" s="246"/>
      <c r="D25" s="246"/>
      <c r="E25" s="246"/>
      <c r="F25" s="246"/>
      <c r="G25" s="246"/>
      <c r="H25" s="246"/>
      <c r="I25" s="246"/>
      <c r="J25" s="246"/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840">
        <v>0</v>
      </c>
      <c r="S25" s="246">
        <f t="shared" si="0"/>
        <v>0</v>
      </c>
    </row>
    <row r="26" spans="1:19" ht="26.1" customHeight="1">
      <c r="A26" s="392">
        <v>22132</v>
      </c>
      <c r="B26" s="246" t="s">
        <v>187</v>
      </c>
      <c r="C26" s="246">
        <v>3000000</v>
      </c>
      <c r="D26" s="246">
        <v>1500000</v>
      </c>
      <c r="E26" s="246">
        <v>0</v>
      </c>
      <c r="F26" s="246">
        <v>0</v>
      </c>
      <c r="G26" s="246">
        <v>0</v>
      </c>
      <c r="H26" s="246">
        <v>15000000</v>
      </c>
      <c r="I26" s="246">
        <v>20000000</v>
      </c>
      <c r="J26" s="246">
        <v>20000000</v>
      </c>
      <c r="K26" s="246">
        <v>9213600</v>
      </c>
      <c r="L26" s="246">
        <f>40000000*70%+300000000</f>
        <v>328000000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840">
        <v>0</v>
      </c>
      <c r="S26" s="246">
        <f t="shared" si="0"/>
        <v>0</v>
      </c>
    </row>
    <row r="27" spans="1:19" s="514" customFormat="1" ht="26.1" customHeight="1">
      <c r="A27" s="392">
        <v>22134</v>
      </c>
      <c r="B27" s="246" t="s">
        <v>142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40000000</v>
      </c>
      <c r="I27" s="246">
        <v>70000000</v>
      </c>
      <c r="J27" s="246">
        <v>70000000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840">
        <v>0</v>
      </c>
      <c r="S27" s="246">
        <f t="shared" si="0"/>
        <v>0</v>
      </c>
    </row>
    <row r="28" spans="1:19" ht="26.1" customHeight="1">
      <c r="A28" s="392"/>
      <c r="B28" s="280" t="s">
        <v>92</v>
      </c>
      <c r="C28" s="246">
        <v>0</v>
      </c>
      <c r="D28" s="246">
        <v>0</v>
      </c>
      <c r="E28" s="246">
        <v>0</v>
      </c>
      <c r="F28" s="246">
        <v>0</v>
      </c>
      <c r="G28" s="246">
        <v>16000000</v>
      </c>
      <c r="H28" s="246">
        <v>360113000</v>
      </c>
      <c r="I28" s="246">
        <v>208212162</v>
      </c>
      <c r="J28" s="246">
        <v>330000000</v>
      </c>
      <c r="K28" s="280">
        <f t="shared" ref="K28:O28" si="4">SUM(K14:K27)</f>
        <v>78604800</v>
      </c>
      <c r="L28" s="280">
        <f t="shared" si="4"/>
        <v>408500000</v>
      </c>
      <c r="M28" s="280">
        <f t="shared" si="4"/>
        <v>209450000</v>
      </c>
      <c r="N28" s="280">
        <f t="shared" si="4"/>
        <v>179450000</v>
      </c>
      <c r="O28" s="280">
        <f t="shared" si="4"/>
        <v>254450000</v>
      </c>
      <c r="P28" s="280">
        <f>SUM(P14:P27)</f>
        <v>254450000</v>
      </c>
      <c r="Q28" s="280">
        <f>SUM(Q14:Q27)</f>
        <v>254450000</v>
      </c>
      <c r="R28" s="851">
        <f>SUM(R14:R27)</f>
        <v>331950000</v>
      </c>
      <c r="S28" s="280">
        <f t="shared" si="0"/>
        <v>77500000</v>
      </c>
    </row>
    <row r="29" spans="1:19" ht="26.1" customHeight="1">
      <c r="A29" s="476">
        <v>2220</v>
      </c>
      <c r="B29" s="280" t="s">
        <v>240</v>
      </c>
      <c r="C29" s="246"/>
      <c r="D29" s="246"/>
      <c r="E29" s="246"/>
      <c r="F29" s="246"/>
      <c r="G29" s="246"/>
      <c r="H29" s="246"/>
      <c r="I29" s="246">
        <v>0</v>
      </c>
      <c r="J29" s="246">
        <v>35000000</v>
      </c>
      <c r="K29" s="280"/>
      <c r="L29" s="280"/>
      <c r="M29" s="280"/>
      <c r="N29" s="280"/>
      <c r="O29" s="280"/>
      <c r="P29" s="280"/>
      <c r="Q29" s="280"/>
      <c r="R29" s="851"/>
      <c r="S29" s="246">
        <f t="shared" si="0"/>
        <v>0</v>
      </c>
    </row>
    <row r="30" spans="1:19" ht="26.1" customHeight="1">
      <c r="A30" s="392">
        <v>22201</v>
      </c>
      <c r="B30" s="246" t="s">
        <v>132</v>
      </c>
      <c r="C30" s="280" t="e">
        <f>#REF!+#REF!+#REF!+#REF!+#REF!</f>
        <v>#REF!</v>
      </c>
      <c r="D30" s="280" t="e">
        <f>#REF!+#REF!+#REF!+#REF!+#REF!</f>
        <v>#REF!</v>
      </c>
      <c r="E30" s="280" t="e">
        <f>#REF!+#REF!+#REF!+#REF!+#REF!</f>
        <v>#REF!</v>
      </c>
      <c r="F30" s="280" t="e">
        <f>#REF!+#REF!+#REF!+#REF!+#REF!</f>
        <v>#REF!</v>
      </c>
      <c r="G30" s="280" t="e">
        <f>#REF!+#REF!+#REF!+#REF!+#REF!</f>
        <v>#REF!</v>
      </c>
      <c r="H30" s="280" t="e">
        <f>#REF!+#REF!+#REF!+#REF!+#REF!</f>
        <v>#REF!</v>
      </c>
      <c r="I30" s="280" t="e">
        <f>#REF!+#REF!+#REF!+#REF!+#REF!</f>
        <v>#REF!</v>
      </c>
      <c r="J30" s="280" t="e">
        <f>#REF!+#REF!+#REF!+#REF!+#REF!</f>
        <v>#REF!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840">
        <v>0</v>
      </c>
      <c r="S30" s="246">
        <f t="shared" si="0"/>
        <v>0</v>
      </c>
    </row>
    <row r="31" spans="1:19" s="515" customFormat="1" ht="26.1" customHeight="1">
      <c r="A31" s="392">
        <v>22202</v>
      </c>
      <c r="B31" s="246" t="s">
        <v>133</v>
      </c>
      <c r="C31" s="292"/>
      <c r="D31" s="292"/>
      <c r="E31" s="292"/>
      <c r="F31" s="274">
        <v>0</v>
      </c>
      <c r="G31" s="274" t="s">
        <v>4</v>
      </c>
      <c r="H31" s="274"/>
      <c r="I31" s="274"/>
      <c r="J31" s="274"/>
      <c r="K31" s="246">
        <v>116600000</v>
      </c>
      <c r="L31" s="246">
        <v>70000000</v>
      </c>
      <c r="M31" s="246">
        <v>150000000</v>
      </c>
      <c r="N31" s="246">
        <v>150000000</v>
      </c>
      <c r="O31" s="246">
        <v>250000000</v>
      </c>
      <c r="P31" s="246">
        <v>290000000</v>
      </c>
      <c r="Q31" s="246">
        <v>340000000</v>
      </c>
      <c r="R31" s="840">
        <v>375000000</v>
      </c>
      <c r="S31" s="246">
        <f t="shared" si="0"/>
        <v>35000000</v>
      </c>
    </row>
    <row r="32" spans="1:19" ht="26.1" customHeight="1">
      <c r="A32" s="392">
        <v>22203</v>
      </c>
      <c r="B32" s="246" t="s">
        <v>127</v>
      </c>
      <c r="C32" s="292"/>
      <c r="D32" s="292"/>
      <c r="E32" s="292"/>
      <c r="F32" s="274"/>
      <c r="G32" s="274"/>
      <c r="H32" s="274"/>
      <c r="I32" s="274"/>
      <c r="J32" s="274"/>
      <c r="K32" s="246">
        <v>29896000</v>
      </c>
      <c r="L32" s="246">
        <v>20000000</v>
      </c>
      <c r="M32" s="246">
        <v>20000000</v>
      </c>
      <c r="N32" s="246">
        <v>20000000</v>
      </c>
      <c r="O32" s="246">
        <v>30000000</v>
      </c>
      <c r="P32" s="246">
        <v>50000000</v>
      </c>
      <c r="Q32" s="246">
        <v>90000000</v>
      </c>
      <c r="R32" s="840">
        <v>90000000</v>
      </c>
      <c r="S32" s="246">
        <f t="shared" si="0"/>
        <v>0</v>
      </c>
    </row>
    <row r="33" spans="1:19" ht="26.1" customHeight="1">
      <c r="A33" s="392">
        <v>22204</v>
      </c>
      <c r="B33" s="246" t="s">
        <v>128</v>
      </c>
      <c r="C33" s="246"/>
      <c r="D33" s="246"/>
      <c r="E33" s="246"/>
      <c r="F33" s="246"/>
      <c r="G33" s="246"/>
      <c r="H33" s="246"/>
      <c r="I33" s="246"/>
      <c r="J33" s="246"/>
      <c r="K33" s="274">
        <v>5958400</v>
      </c>
      <c r="L33" s="274">
        <v>3000000</v>
      </c>
      <c r="M33" s="274">
        <v>3000000</v>
      </c>
      <c r="N33" s="274">
        <v>3000000</v>
      </c>
      <c r="O33" s="274">
        <v>3000000</v>
      </c>
      <c r="P33" s="274">
        <v>3000000</v>
      </c>
      <c r="Q33" s="274">
        <v>3000000</v>
      </c>
      <c r="R33" s="853">
        <v>3000000</v>
      </c>
      <c r="S33" s="246">
        <f t="shared" si="0"/>
        <v>0</v>
      </c>
    </row>
    <row r="34" spans="1:19" ht="26.1" customHeight="1">
      <c r="A34" s="392">
        <v>22205</v>
      </c>
      <c r="B34" s="246" t="s">
        <v>134</v>
      </c>
      <c r="C34" s="246">
        <v>4000000</v>
      </c>
      <c r="D34" s="246">
        <v>2000000</v>
      </c>
      <c r="E34" s="246">
        <v>0</v>
      </c>
      <c r="F34" s="246">
        <v>0</v>
      </c>
      <c r="G34" s="246">
        <v>0</v>
      </c>
      <c r="H34" s="246">
        <v>200000000</v>
      </c>
      <c r="I34" s="246">
        <v>200000000</v>
      </c>
      <c r="J34" s="246">
        <v>200000000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0</v>
      </c>
      <c r="Q34" s="279">
        <v>0</v>
      </c>
      <c r="R34" s="850">
        <v>0</v>
      </c>
      <c r="S34" s="246">
        <f t="shared" si="0"/>
        <v>0</v>
      </c>
    </row>
    <row r="35" spans="1:19" ht="26.1" customHeight="1">
      <c r="A35" s="392"/>
      <c r="B35" s="280" t="s">
        <v>92</v>
      </c>
      <c r="C35" s="246">
        <v>10089000</v>
      </c>
      <c r="D35" s="246">
        <v>10004000</v>
      </c>
      <c r="E35" s="246">
        <v>20004000</v>
      </c>
      <c r="F35" s="246">
        <v>20004000</v>
      </c>
      <c r="G35" s="246">
        <v>40003200</v>
      </c>
      <c r="H35" s="246">
        <v>100000000</v>
      </c>
      <c r="I35" s="246">
        <v>100000000</v>
      </c>
      <c r="J35" s="246">
        <v>100000000</v>
      </c>
      <c r="K35" s="280">
        <f t="shared" ref="K35:P35" si="5">SUM(K30:K34)</f>
        <v>152454400</v>
      </c>
      <c r="L35" s="280">
        <f t="shared" si="5"/>
        <v>93000000</v>
      </c>
      <c r="M35" s="280">
        <f t="shared" si="5"/>
        <v>173000000</v>
      </c>
      <c r="N35" s="280">
        <f t="shared" si="5"/>
        <v>173000000</v>
      </c>
      <c r="O35" s="280">
        <f t="shared" si="5"/>
        <v>283000000</v>
      </c>
      <c r="P35" s="280">
        <f t="shared" si="5"/>
        <v>343000000</v>
      </c>
      <c r="Q35" s="280">
        <f>SUM(Q30:Q34)</f>
        <v>433000000</v>
      </c>
      <c r="R35" s="851">
        <f>SUM(R30:R34)</f>
        <v>468000000</v>
      </c>
      <c r="S35" s="280">
        <f t="shared" si="0"/>
        <v>35000000</v>
      </c>
    </row>
    <row r="36" spans="1:19" ht="26.1" customHeight="1">
      <c r="A36" s="476">
        <v>2230</v>
      </c>
      <c r="B36" s="280" t="s">
        <v>130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616200000</v>
      </c>
      <c r="I36" s="246">
        <v>616200000</v>
      </c>
      <c r="J36" s="246">
        <v>616200000</v>
      </c>
      <c r="K36" s="246"/>
      <c r="L36" s="246"/>
      <c r="M36" s="246"/>
      <c r="N36" s="246"/>
      <c r="O36" s="246"/>
      <c r="P36" s="246"/>
      <c r="Q36" s="246"/>
      <c r="R36" s="840"/>
      <c r="S36" s="246">
        <f t="shared" si="0"/>
        <v>0</v>
      </c>
    </row>
    <row r="37" spans="1:19" ht="26.1" customHeight="1">
      <c r="A37" s="392">
        <v>2301</v>
      </c>
      <c r="B37" s="246" t="s">
        <v>49</v>
      </c>
      <c r="C37" s="246">
        <v>13333000</v>
      </c>
      <c r="D37" s="246">
        <v>5000000</v>
      </c>
      <c r="E37" s="246">
        <v>0</v>
      </c>
      <c r="F37" s="246">
        <v>0</v>
      </c>
      <c r="G37" s="246">
        <v>0</v>
      </c>
      <c r="H37" s="246">
        <v>100000000</v>
      </c>
      <c r="I37" s="246">
        <v>70000000</v>
      </c>
      <c r="J37" s="246">
        <v>70000000</v>
      </c>
      <c r="K37" s="246">
        <v>25427200</v>
      </c>
      <c r="L37" s="246">
        <v>10000000</v>
      </c>
      <c r="M37" s="246">
        <v>40000000</v>
      </c>
      <c r="N37" s="246">
        <v>40000000</v>
      </c>
      <c r="O37" s="246">
        <v>40000000</v>
      </c>
      <c r="P37" s="246">
        <v>50000000</v>
      </c>
      <c r="Q37" s="246">
        <v>100000000</v>
      </c>
      <c r="R37" s="840">
        <v>120000000</v>
      </c>
      <c r="S37" s="246">
        <f t="shared" si="0"/>
        <v>20000000</v>
      </c>
    </row>
    <row r="38" spans="1:19" ht="26.1" customHeight="1">
      <c r="A38" s="392">
        <v>22302</v>
      </c>
      <c r="B38" s="246" t="s">
        <v>249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4834400</v>
      </c>
      <c r="L38" s="246">
        <f t="shared" ref="L38:R38" si="6">10000000*70%</f>
        <v>7000000</v>
      </c>
      <c r="M38" s="246">
        <f t="shared" si="6"/>
        <v>7000000</v>
      </c>
      <c r="N38" s="246">
        <f t="shared" si="6"/>
        <v>7000000</v>
      </c>
      <c r="O38" s="246">
        <f t="shared" si="6"/>
        <v>7000000</v>
      </c>
      <c r="P38" s="246">
        <f t="shared" si="6"/>
        <v>7000000</v>
      </c>
      <c r="Q38" s="246">
        <f t="shared" si="6"/>
        <v>7000000</v>
      </c>
      <c r="R38" s="840">
        <f t="shared" si="6"/>
        <v>7000000</v>
      </c>
      <c r="S38" s="246">
        <f t="shared" si="0"/>
        <v>0</v>
      </c>
    </row>
    <row r="39" spans="1:19" ht="26.1" customHeight="1">
      <c r="A39" s="392">
        <v>22313</v>
      </c>
      <c r="B39" s="246" t="s">
        <v>251</v>
      </c>
      <c r="C39" s="280">
        <f t="shared" ref="C39:J39" si="7">SUM(C37:C38)</f>
        <v>13333000</v>
      </c>
      <c r="D39" s="280">
        <f t="shared" si="7"/>
        <v>5000000</v>
      </c>
      <c r="E39" s="280">
        <f t="shared" si="7"/>
        <v>0</v>
      </c>
      <c r="F39" s="280">
        <f t="shared" si="7"/>
        <v>0</v>
      </c>
      <c r="G39" s="280">
        <f t="shared" si="7"/>
        <v>0</v>
      </c>
      <c r="H39" s="280">
        <f t="shared" si="7"/>
        <v>100000000</v>
      </c>
      <c r="I39" s="280">
        <f t="shared" si="7"/>
        <v>70000000</v>
      </c>
      <c r="J39" s="280">
        <f t="shared" si="7"/>
        <v>70000000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840">
        <v>0</v>
      </c>
      <c r="S39" s="246">
        <f t="shared" si="0"/>
        <v>0</v>
      </c>
    </row>
    <row r="40" spans="1:19" ht="26.1" customHeight="1">
      <c r="A40" s="392"/>
      <c r="B40" s="280" t="s">
        <v>92</v>
      </c>
      <c r="C40" s="280" t="e">
        <f>C39+#REF!+C33+C20+#REF!</f>
        <v>#REF!</v>
      </c>
      <c r="D40" s="280" t="e">
        <f>D39+#REF!+D33+D20+#REF!</f>
        <v>#REF!</v>
      </c>
      <c r="E40" s="280" t="e">
        <f>E39+#REF!+E33+E20+#REF!</f>
        <v>#REF!</v>
      </c>
      <c r="F40" s="280" t="e">
        <f>F39+#REF!+F33+F20+#REF!</f>
        <v>#REF!</v>
      </c>
      <c r="G40" s="280" t="e">
        <f>G39+#REF!+G20+G33+#REF!</f>
        <v>#REF!</v>
      </c>
      <c r="H40" s="280" t="e">
        <f>H39+#REF!+H33+H20+#REF!</f>
        <v>#REF!</v>
      </c>
      <c r="I40" s="280" t="e">
        <f>I39+#REF!+I33+I20+#REF!</f>
        <v>#REF!</v>
      </c>
      <c r="J40" s="280" t="e">
        <f>SUM(#REF!+J20+J33+J39)</f>
        <v>#REF!</v>
      </c>
      <c r="K40" s="280">
        <f t="shared" ref="K40:O40" si="8">SUM(K37:K39)</f>
        <v>30261600</v>
      </c>
      <c r="L40" s="280">
        <f t="shared" si="8"/>
        <v>17000000</v>
      </c>
      <c r="M40" s="280">
        <f t="shared" si="8"/>
        <v>47000000</v>
      </c>
      <c r="N40" s="280">
        <f t="shared" si="8"/>
        <v>47000000</v>
      </c>
      <c r="O40" s="280">
        <f t="shared" si="8"/>
        <v>47000000</v>
      </c>
      <c r="P40" s="280">
        <f>SUM(P37:P39)</f>
        <v>57000000</v>
      </c>
      <c r="Q40" s="280">
        <f>SUM(Q37:Q39)</f>
        <v>107000000</v>
      </c>
      <c r="R40" s="851">
        <f>SUM(R37:R39)</f>
        <v>127000000</v>
      </c>
      <c r="S40" s="280">
        <f t="shared" si="0"/>
        <v>20000000</v>
      </c>
    </row>
    <row r="41" spans="1:19" ht="26.1" customHeight="1">
      <c r="A41" s="476">
        <v>270</v>
      </c>
      <c r="B41" s="280" t="s">
        <v>253</v>
      </c>
      <c r="C41" s="246"/>
      <c r="D41" s="246"/>
      <c r="E41" s="246"/>
      <c r="F41" s="246"/>
      <c r="G41" s="246"/>
      <c r="H41" s="246"/>
      <c r="I41" s="246"/>
      <c r="J41" s="246"/>
      <c r="K41" s="280"/>
      <c r="L41" s="280"/>
      <c r="M41" s="280"/>
      <c r="N41" s="280"/>
      <c r="O41" s="280"/>
      <c r="P41" s="280"/>
      <c r="Q41" s="280"/>
      <c r="R41" s="851"/>
      <c r="S41" s="246">
        <f t="shared" si="0"/>
        <v>0</v>
      </c>
    </row>
    <row r="42" spans="1:19" ht="26.1" customHeight="1">
      <c r="A42" s="476">
        <v>2710</v>
      </c>
      <c r="B42" s="280" t="s">
        <v>387</v>
      </c>
      <c r="C42" s="246"/>
      <c r="D42" s="246"/>
      <c r="E42" s="246"/>
      <c r="F42" s="246"/>
      <c r="G42" s="246"/>
      <c r="H42" s="246"/>
      <c r="I42" s="246"/>
      <c r="J42" s="246"/>
      <c r="K42" s="280"/>
      <c r="L42" s="280"/>
      <c r="M42" s="280"/>
      <c r="N42" s="280"/>
      <c r="O42" s="280"/>
      <c r="P42" s="280"/>
      <c r="Q42" s="280"/>
      <c r="R42" s="851"/>
      <c r="S42" s="246">
        <f t="shared" si="0"/>
        <v>0</v>
      </c>
    </row>
    <row r="43" spans="1:19" ht="26.1" customHeight="1">
      <c r="A43" s="392">
        <v>27402</v>
      </c>
      <c r="B43" s="246" t="s">
        <v>1250</v>
      </c>
      <c r="C43" s="246"/>
      <c r="D43" s="246"/>
      <c r="E43" s="246"/>
      <c r="F43" s="246"/>
      <c r="G43" s="246"/>
      <c r="H43" s="246"/>
      <c r="I43" s="246"/>
      <c r="J43" s="246"/>
      <c r="K43" s="280">
        <v>0</v>
      </c>
      <c r="L43" s="246">
        <f>30000000*70%</f>
        <v>21000000</v>
      </c>
      <c r="M43" s="246">
        <v>0</v>
      </c>
      <c r="N43" s="246">
        <v>0</v>
      </c>
      <c r="O43" s="246">
        <v>0</v>
      </c>
      <c r="P43" s="246">
        <v>0</v>
      </c>
      <c r="Q43" s="246">
        <v>0</v>
      </c>
      <c r="R43" s="840">
        <v>0</v>
      </c>
      <c r="S43" s="246">
        <f t="shared" si="0"/>
        <v>0</v>
      </c>
    </row>
    <row r="44" spans="1:19" ht="26.1" customHeight="1">
      <c r="A44" s="476">
        <v>2720</v>
      </c>
      <c r="B44" s="280" t="s">
        <v>261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840"/>
      <c r="S44" s="246">
        <f t="shared" si="0"/>
        <v>0</v>
      </c>
    </row>
    <row r="45" spans="1:19" ht="26.1" customHeight="1">
      <c r="A45" s="392">
        <v>27202</v>
      </c>
      <c r="B45" s="246" t="s">
        <v>880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>
        <v>0</v>
      </c>
      <c r="O45" s="246">
        <v>150000000</v>
      </c>
      <c r="P45" s="246">
        <v>0</v>
      </c>
      <c r="Q45" s="246">
        <v>0</v>
      </c>
      <c r="R45" s="840">
        <v>0</v>
      </c>
      <c r="S45" s="246">
        <f t="shared" si="0"/>
        <v>0</v>
      </c>
    </row>
    <row r="46" spans="1:19" ht="26.1" customHeight="1">
      <c r="A46" s="392">
        <v>27202</v>
      </c>
      <c r="B46" s="246" t="s">
        <v>1430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>
        <v>0</v>
      </c>
      <c r="Q46" s="246">
        <v>200000000</v>
      </c>
      <c r="R46" s="840">
        <v>0</v>
      </c>
      <c r="S46" s="246">
        <f t="shared" si="0"/>
        <v>-200000000</v>
      </c>
    </row>
    <row r="47" spans="1:19" ht="26.1" customHeight="1">
      <c r="A47" s="392"/>
      <c r="B47" s="280" t="s">
        <v>92</v>
      </c>
      <c r="C47" s="246"/>
      <c r="D47" s="246"/>
      <c r="E47" s="246"/>
      <c r="F47" s="246"/>
      <c r="G47" s="246"/>
      <c r="H47" s="246"/>
      <c r="I47" s="246"/>
      <c r="J47" s="246"/>
      <c r="K47" s="280">
        <f>SUM(K43:K43)</f>
        <v>0</v>
      </c>
      <c r="L47" s="280">
        <f>SUM(L43:L43)</f>
        <v>21000000</v>
      </c>
      <c r="M47" s="280">
        <f>SUM(M43:M43)</f>
        <v>0</v>
      </c>
      <c r="N47" s="280">
        <f>SUM(N43:N43)</f>
        <v>0</v>
      </c>
      <c r="O47" s="280">
        <f>SUM(O45)</f>
        <v>150000000</v>
      </c>
      <c r="P47" s="280">
        <f>SUM(P45)</f>
        <v>0</v>
      </c>
      <c r="Q47" s="280">
        <f>SUM(Q45:Q46)</f>
        <v>200000000</v>
      </c>
      <c r="R47" s="851">
        <f>SUM(R45:R46)</f>
        <v>0</v>
      </c>
      <c r="S47" s="280">
        <f t="shared" si="0"/>
        <v>-200000000</v>
      </c>
    </row>
    <row r="48" spans="1:19" ht="26.1" customHeight="1">
      <c r="A48" s="392">
        <v>2810</v>
      </c>
      <c r="B48" s="280" t="s">
        <v>1327</v>
      </c>
      <c r="C48" s="246"/>
      <c r="D48" s="246"/>
      <c r="E48" s="246"/>
      <c r="F48" s="246"/>
      <c r="G48" s="246"/>
      <c r="H48" s="246"/>
      <c r="I48" s="246"/>
      <c r="J48" s="246"/>
      <c r="K48" s="280"/>
      <c r="L48" s="280"/>
      <c r="M48" s="280"/>
      <c r="N48" s="280"/>
      <c r="O48" s="280"/>
      <c r="P48" s="280"/>
      <c r="Q48" s="280"/>
      <c r="R48" s="851"/>
      <c r="S48" s="246">
        <f t="shared" si="0"/>
        <v>0</v>
      </c>
    </row>
    <row r="49" spans="1:19" ht="26.1" customHeight="1">
      <c r="A49" s="392">
        <v>28102</v>
      </c>
      <c r="B49" s="246" t="s">
        <v>1328</v>
      </c>
      <c r="C49" s="246"/>
      <c r="D49" s="246"/>
      <c r="E49" s="246"/>
      <c r="F49" s="246"/>
      <c r="G49" s="246"/>
      <c r="H49" s="246"/>
      <c r="I49" s="246"/>
      <c r="J49" s="246"/>
      <c r="K49" s="280"/>
      <c r="L49" s="280"/>
      <c r="M49" s="280"/>
      <c r="N49" s="280"/>
      <c r="O49" s="280"/>
      <c r="P49" s="280"/>
      <c r="Q49" s="280"/>
      <c r="R49" s="851">
        <v>47000000</v>
      </c>
      <c r="S49" s="280">
        <f t="shared" si="0"/>
        <v>47000000</v>
      </c>
    </row>
    <row r="50" spans="1:19" ht="26.1" customHeight="1">
      <c r="A50" s="392"/>
      <c r="B50" s="280" t="s">
        <v>37</v>
      </c>
      <c r="C50" s="246"/>
      <c r="D50" s="246"/>
      <c r="E50" s="246"/>
      <c r="F50" s="246"/>
      <c r="G50" s="246"/>
      <c r="H50" s="246"/>
      <c r="I50" s="246"/>
      <c r="J50" s="246"/>
      <c r="K50" s="280">
        <f t="shared" ref="K50:P50" si="9">K11+K28+K35+K40+K47</f>
        <v>848051200</v>
      </c>
      <c r="L50" s="280">
        <f t="shared" si="9"/>
        <v>1368495200</v>
      </c>
      <c r="M50" s="280">
        <f t="shared" si="9"/>
        <v>1818020400</v>
      </c>
      <c r="N50" s="280">
        <f t="shared" si="9"/>
        <v>2220080400</v>
      </c>
      <c r="O50" s="280">
        <f t="shared" si="9"/>
        <v>3346575440</v>
      </c>
      <c r="P50" s="280">
        <f t="shared" si="9"/>
        <v>3589587600</v>
      </c>
      <c r="Q50" s="280">
        <f>Q11+Q28+Q35+Q40+Q47</f>
        <v>5573350480</v>
      </c>
      <c r="R50" s="851">
        <f>R11+R28+R35+R40+R47+R49</f>
        <v>6709395120</v>
      </c>
      <c r="S50" s="280">
        <f t="shared" si="0"/>
        <v>1136044640</v>
      </c>
    </row>
    <row r="51" spans="1:19" ht="26.1" customHeight="1">
      <c r="K51" s="517"/>
      <c r="L51" s="517"/>
      <c r="M51" s="517"/>
      <c r="N51" s="517"/>
      <c r="O51" s="517"/>
      <c r="P51" s="517"/>
      <c r="Q51" s="517"/>
      <c r="R51" s="517"/>
    </row>
  </sheetData>
  <phoneticPr fontId="0" type="noConversion"/>
  <printOptions gridLines="1"/>
  <pageMargins left="0.76" right="0.39" top="1.24" bottom="0.68" header="0.53" footer="0.21"/>
  <pageSetup scale="50" orientation="portrait" r:id="rId1"/>
  <headerFooter alignWithMargins="0">
    <oddHeader xml:space="preserve">&amp;C&amp;"Algerian,Bold"&amp;36Xeer Ilaalinta Guud ee Qaranka </oddHeader>
    <oddFooter>&amp;R&amp;"Times New Roman,Bold"&amp;14 &amp;18 6&amp;14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62"/>
  <sheetViews>
    <sheetView view="pageBreakPreview" topLeftCell="A37" zoomScale="60" workbookViewId="0">
      <selection activeCell="X55" sqref="X55"/>
    </sheetView>
  </sheetViews>
  <sheetFormatPr defaultRowHeight="26.1" customHeight="1"/>
  <cols>
    <col min="1" max="1" width="17.5" style="522" customWidth="1"/>
    <col min="2" max="2" width="82.33203125" style="519" customWidth="1"/>
    <col min="3" max="3" width="17.33203125" style="519" hidden="1" customWidth="1"/>
    <col min="4" max="4" width="15.5" style="519" hidden="1" customWidth="1"/>
    <col min="5" max="5" width="18" style="519" hidden="1" customWidth="1"/>
    <col min="6" max="6" width="2.33203125" style="519" hidden="1" customWidth="1"/>
    <col min="7" max="7" width="23.5" style="519" hidden="1" customWidth="1"/>
    <col min="8" max="9" width="25" style="519" hidden="1" customWidth="1"/>
    <col min="10" max="10" width="1.5" style="519" hidden="1" customWidth="1"/>
    <col min="11" max="11" width="28.83203125" style="519" hidden="1" customWidth="1"/>
    <col min="12" max="12" width="31" style="519" hidden="1" customWidth="1"/>
    <col min="13" max="13" width="30.6640625" style="519" hidden="1" customWidth="1"/>
    <col min="14" max="14" width="0.1640625" style="519" hidden="1" customWidth="1"/>
    <col min="15" max="15" width="32.5" style="519" hidden="1" customWidth="1"/>
    <col min="16" max="16" width="0.1640625" style="519" customWidth="1"/>
    <col min="17" max="18" width="32.33203125" style="519" customWidth="1"/>
    <col min="19" max="19" width="28.6640625" style="519" bestFit="1" customWidth="1"/>
    <col min="20" max="16384" width="9.33203125" style="519"/>
  </cols>
  <sheetData>
    <row r="1" spans="1:19" ht="26.1" customHeight="1">
      <c r="A1" s="476" t="s">
        <v>39</v>
      </c>
      <c r="B1" s="477" t="s">
        <v>1313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518"/>
    </row>
    <row r="2" spans="1:19" ht="26.1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107</v>
      </c>
      <c r="K2" s="286" t="s">
        <v>138</v>
      </c>
      <c r="L2" s="286" t="s">
        <v>260</v>
      </c>
      <c r="M2" s="286" t="s">
        <v>440</v>
      </c>
      <c r="N2" s="286" t="s">
        <v>806</v>
      </c>
      <c r="O2" s="286" t="s">
        <v>872</v>
      </c>
      <c r="P2" s="286" t="s">
        <v>972</v>
      </c>
      <c r="Q2" s="286" t="s">
        <v>1159</v>
      </c>
      <c r="R2" s="286" t="s">
        <v>1319</v>
      </c>
      <c r="S2" s="286" t="s">
        <v>56</v>
      </c>
    </row>
    <row r="3" spans="1:19" ht="26.1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46"/>
    </row>
    <row r="4" spans="1:19" ht="26.1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>
        <f>170726400+3198000</f>
        <v>173924400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6.1" customHeight="1">
      <c r="A5" s="392">
        <v>21101</v>
      </c>
      <c r="B5" s="246" t="s">
        <v>28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197527200</v>
      </c>
      <c r="L5" s="246">
        <f>shaqaalaha2011!H9+390967000</f>
        <v>709675000</v>
      </c>
      <c r="M5" s="246">
        <v>368784000</v>
      </c>
      <c r="N5" s="246">
        <v>404539200</v>
      </c>
      <c r="O5" s="246">
        <v>774146880</v>
      </c>
      <c r="P5" s="246">
        <v>904999680</v>
      </c>
      <c r="Q5" s="246">
        <v>1111443840</v>
      </c>
      <c r="R5" s="246">
        <v>1425501792</v>
      </c>
      <c r="S5" s="246">
        <f>R5-Q5</f>
        <v>314057952</v>
      </c>
    </row>
    <row r="6" spans="1:19" ht="26.1" customHeight="1">
      <c r="A6" s="392">
        <v>21102</v>
      </c>
      <c r="B6" s="246" t="s">
        <v>492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f>2535276000+2400000</f>
        <v>2537676000</v>
      </c>
      <c r="K6" s="246">
        <v>0</v>
      </c>
      <c r="L6" s="246">
        <v>0</v>
      </c>
      <c r="M6" s="246">
        <v>150000000</v>
      </c>
      <c r="N6" s="246">
        <v>150000000</v>
      </c>
      <c r="O6" s="246">
        <v>276000000</v>
      </c>
      <c r="P6" s="246">
        <v>276000000</v>
      </c>
      <c r="Q6" s="246">
        <v>276000000</v>
      </c>
      <c r="R6" s="840">
        <v>276000000</v>
      </c>
      <c r="S6" s="246">
        <f t="shared" ref="S6:S54" si="0">R6-Q6</f>
        <v>0</v>
      </c>
    </row>
    <row r="7" spans="1:19" ht="26.1" customHeight="1">
      <c r="A7" s="392">
        <v>21103</v>
      </c>
      <c r="B7" s="246" t="s">
        <v>347</v>
      </c>
      <c r="C7" s="246"/>
      <c r="D7" s="246"/>
      <c r="E7" s="246"/>
      <c r="F7" s="246"/>
      <c r="G7" s="246"/>
      <c r="H7" s="246"/>
      <c r="I7" s="246"/>
      <c r="J7" s="246"/>
      <c r="K7" s="246">
        <v>191772000</v>
      </c>
      <c r="L7" s="246">
        <v>191772000</v>
      </c>
      <c r="M7" s="246">
        <v>151200000</v>
      </c>
      <c r="N7" s="246">
        <v>199200000</v>
      </c>
      <c r="O7" s="246">
        <v>306000000</v>
      </c>
      <c r="P7" s="246">
        <v>324000000</v>
      </c>
      <c r="Q7" s="246">
        <v>324000000</v>
      </c>
      <c r="R7" s="840">
        <v>378000000</v>
      </c>
      <c r="S7" s="246">
        <f t="shared" si="0"/>
        <v>54000000</v>
      </c>
    </row>
    <row r="8" spans="1:19" ht="26.1" customHeight="1">
      <c r="A8" s="392">
        <v>21105</v>
      </c>
      <c r="B8" s="246" t="s">
        <v>1426</v>
      </c>
      <c r="C8" s="246">
        <v>2500000</v>
      </c>
      <c r="D8" s="246">
        <v>2000000</v>
      </c>
      <c r="E8" s="246">
        <v>2000000</v>
      </c>
      <c r="F8" s="246">
        <v>2000000</v>
      </c>
      <c r="G8" s="246">
        <v>1600000</v>
      </c>
      <c r="H8" s="246">
        <v>41000000</v>
      </c>
      <c r="I8" s="246">
        <v>41000000</v>
      </c>
      <c r="J8" s="246"/>
      <c r="K8" s="246">
        <v>48000000</v>
      </c>
      <c r="L8" s="246">
        <v>48000000</v>
      </c>
      <c r="M8" s="246">
        <f>L8</f>
        <v>48000000</v>
      </c>
      <c r="N8" s="246">
        <f>M8</f>
        <v>48000000</v>
      </c>
      <c r="O8" s="246">
        <v>120000000</v>
      </c>
      <c r="P8" s="246">
        <v>120000000</v>
      </c>
      <c r="Q8" s="246">
        <v>120000000</v>
      </c>
      <c r="R8" s="840">
        <v>300000000</v>
      </c>
      <c r="S8" s="246">
        <f t="shared" si="0"/>
        <v>180000000</v>
      </c>
    </row>
    <row r="9" spans="1:19" s="756" customFormat="1" ht="26.1" customHeight="1">
      <c r="A9" s="476"/>
      <c r="B9" s="280" t="s">
        <v>92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>
        <f>SUM(P5:P8)</f>
        <v>1624999680</v>
      </c>
      <c r="Q9" s="280">
        <f>SUM(Q5:Q8)</f>
        <v>1831443840</v>
      </c>
      <c r="R9" s="851">
        <f>SUM(R5:R8)</f>
        <v>2379501792</v>
      </c>
      <c r="S9" s="280">
        <f t="shared" si="0"/>
        <v>548057952</v>
      </c>
    </row>
    <row r="10" spans="1:19" ht="26.1" customHeight="1">
      <c r="A10" s="476">
        <v>2120</v>
      </c>
      <c r="B10" s="280" t="s">
        <v>218</v>
      </c>
      <c r="C10" s="246"/>
      <c r="D10" s="246"/>
      <c r="E10" s="246"/>
      <c r="F10" s="246"/>
      <c r="G10" s="246"/>
      <c r="H10" s="246"/>
      <c r="I10" s="246"/>
      <c r="J10" s="246"/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/>
      <c r="Q10" s="280"/>
      <c r="R10" s="851"/>
      <c r="S10" s="246">
        <f t="shared" si="0"/>
        <v>0</v>
      </c>
    </row>
    <row r="11" spans="1:19" ht="26.1" customHeight="1">
      <c r="A11" s="392">
        <v>21201</v>
      </c>
      <c r="B11" s="246" t="s">
        <v>1239</v>
      </c>
      <c r="C11" s="246"/>
      <c r="D11" s="246"/>
      <c r="E11" s="246"/>
      <c r="F11" s="246"/>
      <c r="G11" s="246"/>
      <c r="H11" s="246"/>
      <c r="I11" s="246"/>
      <c r="J11" s="246"/>
      <c r="K11" s="280"/>
      <c r="L11" s="280"/>
      <c r="M11" s="280"/>
      <c r="N11" s="280"/>
      <c r="O11" s="280"/>
      <c r="P11" s="246">
        <v>1915686400</v>
      </c>
      <c r="Q11" s="246">
        <v>1915686400</v>
      </c>
      <c r="R11" s="840">
        <v>1915686400</v>
      </c>
      <c r="S11" s="246">
        <f t="shared" si="0"/>
        <v>0</v>
      </c>
    </row>
    <row r="12" spans="1:19" ht="26.1" customHeight="1">
      <c r="A12" s="392">
        <v>21202</v>
      </c>
      <c r="B12" s="246" t="s">
        <v>478</v>
      </c>
      <c r="C12" s="246">
        <v>56250000</v>
      </c>
      <c r="D12" s="246">
        <v>65000000</v>
      </c>
      <c r="E12" s="246">
        <v>65000000</v>
      </c>
      <c r="F12" s="246">
        <v>65000000</v>
      </c>
      <c r="G12" s="246">
        <v>86788800</v>
      </c>
      <c r="H12" s="246">
        <v>141500000</v>
      </c>
      <c r="I12" s="246">
        <v>200000000</v>
      </c>
      <c r="J12" s="246">
        <v>230000000</v>
      </c>
      <c r="K12" s="246">
        <v>0</v>
      </c>
      <c r="L12" s="246">
        <v>6570200</v>
      </c>
      <c r="M12" s="246">
        <v>1898304817</v>
      </c>
      <c r="N12" s="246">
        <v>1000000000</v>
      </c>
      <c r="O12" s="246">
        <v>1000000000</v>
      </c>
      <c r="P12" s="246">
        <v>400000000</v>
      </c>
      <c r="Q12" s="246">
        <v>600000000</v>
      </c>
      <c r="R12" s="840">
        <v>600000000</v>
      </c>
      <c r="S12" s="246">
        <f t="shared" si="0"/>
        <v>0</v>
      </c>
    </row>
    <row r="13" spans="1:19" ht="26.1" customHeight="1">
      <c r="A13" s="392">
        <v>21203</v>
      </c>
      <c r="B13" s="246" t="s">
        <v>223</v>
      </c>
      <c r="C13" s="246">
        <v>18000000</v>
      </c>
      <c r="D13" s="246">
        <f>25000000-2000000</f>
        <v>23000000</v>
      </c>
      <c r="E13" s="246">
        <v>23000000</v>
      </c>
      <c r="F13" s="246">
        <v>23000000</v>
      </c>
      <c r="G13" s="246">
        <v>18400000</v>
      </c>
      <c r="H13" s="246">
        <v>56000000</v>
      </c>
      <c r="I13" s="246">
        <v>100000000</v>
      </c>
      <c r="J13" s="246">
        <v>80000000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840">
        <v>0</v>
      </c>
      <c r="S13" s="246">
        <f t="shared" si="0"/>
        <v>0</v>
      </c>
    </row>
    <row r="14" spans="1:19" ht="26.1" customHeight="1">
      <c r="A14" s="392"/>
      <c r="B14" s="280" t="s">
        <v>92</v>
      </c>
      <c r="C14" s="246">
        <v>11878000</v>
      </c>
      <c r="D14" s="246">
        <f>2000000+2000000</f>
        <v>4000000</v>
      </c>
      <c r="E14" s="246">
        <v>2000000</v>
      </c>
      <c r="F14" s="246">
        <v>2000000</v>
      </c>
      <c r="G14" s="246">
        <v>1600000</v>
      </c>
      <c r="H14" s="246">
        <v>30000000</v>
      </c>
      <c r="I14" s="246">
        <v>60000000</v>
      </c>
      <c r="J14" s="246">
        <v>50000000</v>
      </c>
      <c r="K14" s="280">
        <f>SUM(K5:K13)</f>
        <v>437299200</v>
      </c>
      <c r="L14" s="280">
        <f>SUM(L5:L13)</f>
        <v>956017200</v>
      </c>
      <c r="M14" s="280">
        <f>SUM(M5:M13)</f>
        <v>2616288817</v>
      </c>
      <c r="N14" s="280">
        <f>SUM(N5:N13)</f>
        <v>1801739200</v>
      </c>
      <c r="O14" s="280">
        <f>SUM(O5:O13)</f>
        <v>2476146880</v>
      </c>
      <c r="P14" s="280">
        <f>SUM(P11:P13)</f>
        <v>2315686400</v>
      </c>
      <c r="Q14" s="280">
        <f>SUM(Q11:Q13)</f>
        <v>2515686400</v>
      </c>
      <c r="R14" s="851">
        <f>SUM(R11:R13)</f>
        <v>2515686400</v>
      </c>
      <c r="S14" s="280">
        <f t="shared" si="0"/>
        <v>0</v>
      </c>
    </row>
    <row r="15" spans="1:19" ht="26.1" customHeight="1">
      <c r="A15" s="476">
        <v>220</v>
      </c>
      <c r="B15" s="280" t="s">
        <v>225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200000000</v>
      </c>
      <c r="I15" s="246">
        <v>200000000</v>
      </c>
      <c r="J15" s="246">
        <v>280000000</v>
      </c>
      <c r="K15" s="246"/>
      <c r="L15" s="246"/>
      <c r="M15" s="246"/>
      <c r="N15" s="246"/>
      <c r="O15" s="246"/>
      <c r="P15" s="246"/>
      <c r="Q15" s="246"/>
      <c r="R15" s="840"/>
      <c r="S15" s="246">
        <f t="shared" si="0"/>
        <v>0</v>
      </c>
    </row>
    <row r="16" spans="1:19" ht="26.1" customHeight="1">
      <c r="A16" s="476">
        <v>2210</v>
      </c>
      <c r="B16" s="280" t="s">
        <v>226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840"/>
      <c r="S16" s="246">
        <f t="shared" si="0"/>
        <v>0</v>
      </c>
    </row>
    <row r="17" spans="1:19" s="506" customFormat="1" ht="26.1" customHeight="1">
      <c r="A17" s="392">
        <v>22101</v>
      </c>
      <c r="B17" s="246" t="s">
        <v>33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356850000</v>
      </c>
      <c r="I17" s="246">
        <v>0</v>
      </c>
      <c r="J17" s="246">
        <v>84000000</v>
      </c>
      <c r="K17" s="246">
        <v>13406400</v>
      </c>
      <c r="L17" s="246">
        <f>13406400*70%</f>
        <v>9384480</v>
      </c>
      <c r="M17" s="246">
        <f>13406400*70%</f>
        <v>9384480</v>
      </c>
      <c r="N17" s="246">
        <f>13406400*70%</f>
        <v>9384480</v>
      </c>
      <c r="O17" s="246">
        <v>19384480</v>
      </c>
      <c r="P17" s="246">
        <v>19384480</v>
      </c>
      <c r="Q17" s="246">
        <v>19384480</v>
      </c>
      <c r="R17" s="840">
        <v>100000000</v>
      </c>
      <c r="S17" s="246">
        <f t="shared" si="0"/>
        <v>80615520</v>
      </c>
    </row>
    <row r="18" spans="1:19" ht="26.1" customHeight="1">
      <c r="A18" s="392">
        <v>22104</v>
      </c>
      <c r="B18" s="246" t="s">
        <v>157</v>
      </c>
      <c r="C18" s="246"/>
      <c r="D18" s="246"/>
      <c r="E18" s="246"/>
      <c r="F18" s="246"/>
      <c r="G18" s="246"/>
      <c r="H18" s="246"/>
      <c r="I18" s="246"/>
      <c r="J18" s="246"/>
      <c r="K18" s="246">
        <v>16000000</v>
      </c>
      <c r="L18" s="246">
        <f t="shared" ref="L18:Q18" si="1">16000000*70%</f>
        <v>11200000</v>
      </c>
      <c r="M18" s="246">
        <f t="shared" si="1"/>
        <v>11200000</v>
      </c>
      <c r="N18" s="246">
        <f t="shared" si="1"/>
        <v>11200000</v>
      </c>
      <c r="O18" s="246">
        <f t="shared" si="1"/>
        <v>11200000</v>
      </c>
      <c r="P18" s="246">
        <f t="shared" si="1"/>
        <v>11200000</v>
      </c>
      <c r="Q18" s="246">
        <f t="shared" si="1"/>
        <v>11200000</v>
      </c>
      <c r="R18" s="840">
        <v>50000000</v>
      </c>
      <c r="S18" s="246">
        <f t="shared" si="0"/>
        <v>38800000</v>
      </c>
    </row>
    <row r="19" spans="1:19" ht="26.1" customHeight="1">
      <c r="A19" s="392">
        <v>22105</v>
      </c>
      <c r="B19" s="246" t="s">
        <v>135</v>
      </c>
      <c r="C19" s="246"/>
      <c r="D19" s="246"/>
      <c r="E19" s="246"/>
      <c r="F19" s="246"/>
      <c r="G19" s="246"/>
      <c r="H19" s="246"/>
      <c r="I19" s="246"/>
      <c r="J19" s="246"/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840">
        <v>0</v>
      </c>
      <c r="S19" s="246">
        <f t="shared" si="0"/>
        <v>0</v>
      </c>
    </row>
    <row r="20" spans="1:19" ht="26.1" customHeight="1">
      <c r="A20" s="392">
        <v>22106</v>
      </c>
      <c r="B20" s="246" t="s">
        <v>569</v>
      </c>
      <c r="C20" s="246">
        <v>2500000</v>
      </c>
      <c r="D20" s="246">
        <v>2000000</v>
      </c>
      <c r="E20" s="246">
        <v>2000000</v>
      </c>
      <c r="F20" s="246">
        <v>2000000</v>
      </c>
      <c r="G20" s="246">
        <v>1600000</v>
      </c>
      <c r="H20" s="246">
        <v>41000000</v>
      </c>
      <c r="I20" s="246">
        <v>41000000</v>
      </c>
      <c r="J20" s="246">
        <v>31000000</v>
      </c>
      <c r="K20" s="246">
        <v>71417600</v>
      </c>
      <c r="L20" s="246">
        <f>71417600*70%</f>
        <v>49992320</v>
      </c>
      <c r="M20" s="246">
        <v>897864000</v>
      </c>
      <c r="N20" s="246">
        <v>600000000</v>
      </c>
      <c r="O20" s="246">
        <v>400000000</v>
      </c>
      <c r="P20" s="246">
        <v>300000000</v>
      </c>
      <c r="Q20" s="246">
        <v>400000000</v>
      </c>
      <c r="R20" s="840">
        <v>575000000</v>
      </c>
      <c r="S20" s="246">
        <f t="shared" si="0"/>
        <v>175000000</v>
      </c>
    </row>
    <row r="21" spans="1:19" ht="26.1" customHeight="1">
      <c r="A21" s="392">
        <v>22109</v>
      </c>
      <c r="B21" s="246" t="s">
        <v>136</v>
      </c>
      <c r="C21" s="246">
        <v>23000000</v>
      </c>
      <c r="D21" s="246">
        <v>15000000</v>
      </c>
      <c r="E21" s="246">
        <v>8949700</v>
      </c>
      <c r="F21" s="246">
        <v>8949700</v>
      </c>
      <c r="G21" s="246">
        <v>12000000</v>
      </c>
      <c r="H21" s="246">
        <v>80000000</v>
      </c>
      <c r="I21" s="246">
        <v>80000000</v>
      </c>
      <c r="J21" s="246">
        <v>80000000</v>
      </c>
      <c r="K21" s="246">
        <v>3079200</v>
      </c>
      <c r="L21" s="246">
        <f t="shared" ref="L21:R21" si="2">3079200*70%</f>
        <v>2155440</v>
      </c>
      <c r="M21" s="246">
        <f t="shared" si="2"/>
        <v>2155440</v>
      </c>
      <c r="N21" s="246">
        <f t="shared" si="2"/>
        <v>2155440</v>
      </c>
      <c r="O21" s="246">
        <f t="shared" si="2"/>
        <v>2155440</v>
      </c>
      <c r="P21" s="246">
        <f t="shared" si="2"/>
        <v>2155440</v>
      </c>
      <c r="Q21" s="246">
        <f t="shared" si="2"/>
        <v>2155440</v>
      </c>
      <c r="R21" s="840">
        <f t="shared" si="2"/>
        <v>2155440</v>
      </c>
      <c r="S21" s="246">
        <f t="shared" si="0"/>
        <v>0</v>
      </c>
    </row>
    <row r="22" spans="1:19" ht="26.1" customHeight="1">
      <c r="A22" s="392">
        <v>22112</v>
      </c>
      <c r="B22" s="246" t="s">
        <v>35</v>
      </c>
      <c r="C22" s="246">
        <v>10061000</v>
      </c>
      <c r="D22" s="246">
        <v>2000000</v>
      </c>
      <c r="E22" s="246">
        <v>0</v>
      </c>
      <c r="F22" s="246">
        <v>0</v>
      </c>
      <c r="G22" s="246">
        <v>0</v>
      </c>
      <c r="H22" s="246">
        <v>30000000</v>
      </c>
      <c r="I22" s="246">
        <v>40000000</v>
      </c>
      <c r="J22" s="246">
        <v>30000000</v>
      </c>
      <c r="K22" s="246">
        <v>10586000</v>
      </c>
      <c r="L22" s="246">
        <f t="shared" ref="L22:P22" si="3">10586000*70%</f>
        <v>7410199.9999999991</v>
      </c>
      <c r="M22" s="246">
        <f t="shared" si="3"/>
        <v>7410199.9999999991</v>
      </c>
      <c r="N22" s="246">
        <f t="shared" si="3"/>
        <v>7410199.9999999991</v>
      </c>
      <c r="O22" s="246">
        <f t="shared" si="3"/>
        <v>7410199.9999999991</v>
      </c>
      <c r="P22" s="246">
        <f t="shared" si="3"/>
        <v>7410199.9999999991</v>
      </c>
      <c r="Q22" s="246">
        <v>32410200</v>
      </c>
      <c r="R22" s="840">
        <v>32410200</v>
      </c>
      <c r="S22" s="246">
        <f t="shared" si="0"/>
        <v>0</v>
      </c>
    </row>
    <row r="23" spans="1:19" ht="26.1" customHeight="1">
      <c r="A23" s="392">
        <v>22132</v>
      </c>
      <c r="B23" s="246" t="s">
        <v>187</v>
      </c>
      <c r="C23" s="246">
        <v>3000000</v>
      </c>
      <c r="D23" s="246">
        <v>1500000</v>
      </c>
      <c r="E23" s="246">
        <v>0</v>
      </c>
      <c r="F23" s="246">
        <v>0</v>
      </c>
      <c r="G23" s="246">
        <v>0</v>
      </c>
      <c r="H23" s="246">
        <v>15000000</v>
      </c>
      <c r="I23" s="246">
        <v>20000000</v>
      </c>
      <c r="J23" s="246">
        <v>20000000</v>
      </c>
      <c r="K23" s="246">
        <v>120000000</v>
      </c>
      <c r="L23" s="246">
        <f>120000000*70%</f>
        <v>84000000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840">
        <v>0</v>
      </c>
      <c r="S23" s="246">
        <f t="shared" si="0"/>
        <v>0</v>
      </c>
    </row>
    <row r="24" spans="1:19" ht="26.1" customHeight="1">
      <c r="A24" s="392">
        <v>22137</v>
      </c>
      <c r="B24" s="246" t="s">
        <v>820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>
        <v>100000000</v>
      </c>
      <c r="O24" s="246">
        <v>100000000</v>
      </c>
      <c r="P24" s="246">
        <v>100000000</v>
      </c>
      <c r="Q24" s="246">
        <v>100000000</v>
      </c>
      <c r="R24" s="840">
        <v>150000000</v>
      </c>
      <c r="S24" s="246">
        <f t="shared" si="0"/>
        <v>50000000</v>
      </c>
    </row>
    <row r="25" spans="1:19" ht="26.1" customHeight="1">
      <c r="A25" s="392">
        <v>22152</v>
      </c>
      <c r="B25" s="246" t="s">
        <v>821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>
        <v>0</v>
      </c>
      <c r="N25" s="246">
        <v>60000000</v>
      </c>
      <c r="O25" s="246">
        <v>240000000</v>
      </c>
      <c r="P25" s="246">
        <v>240000000</v>
      </c>
      <c r="Q25" s="246">
        <v>240000000</v>
      </c>
      <c r="R25" s="840">
        <v>273000000</v>
      </c>
      <c r="S25" s="246">
        <f t="shared" si="0"/>
        <v>33000000</v>
      </c>
    </row>
    <row r="26" spans="1:19" ht="26.1" customHeight="1">
      <c r="A26" s="392">
        <v>22155</v>
      </c>
      <c r="B26" s="246" t="s">
        <v>527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>
        <v>0</v>
      </c>
      <c r="M26" s="246">
        <v>500000000</v>
      </c>
      <c r="N26" s="246">
        <v>500000000</v>
      </c>
      <c r="O26" s="246">
        <v>500000000</v>
      </c>
      <c r="P26" s="246">
        <v>200000000</v>
      </c>
      <c r="Q26" s="246">
        <f>P26</f>
        <v>200000000</v>
      </c>
      <c r="R26" s="840">
        <v>420000000</v>
      </c>
      <c r="S26" s="246">
        <f t="shared" si="0"/>
        <v>220000000</v>
      </c>
    </row>
    <row r="27" spans="1:19" ht="26.1" customHeight="1">
      <c r="A27" s="392"/>
      <c r="B27" s="280" t="s">
        <v>92</v>
      </c>
      <c r="C27" s="246">
        <v>0</v>
      </c>
      <c r="D27" s="246">
        <v>0</v>
      </c>
      <c r="E27" s="246">
        <v>0</v>
      </c>
      <c r="F27" s="246">
        <v>0</v>
      </c>
      <c r="G27" s="246">
        <v>16000000</v>
      </c>
      <c r="H27" s="246">
        <v>360113000</v>
      </c>
      <c r="I27" s="246">
        <v>208212162</v>
      </c>
      <c r="J27" s="246">
        <v>330000000</v>
      </c>
      <c r="K27" s="280">
        <f>SUM(K17:K23)</f>
        <v>234489200</v>
      </c>
      <c r="L27" s="280">
        <f>SUM(L17:L23)</f>
        <v>164142440</v>
      </c>
      <c r="M27" s="280">
        <f t="shared" ref="M27:R27" si="4">SUM(M17:M26)</f>
        <v>1428014120</v>
      </c>
      <c r="N27" s="280">
        <f t="shared" si="4"/>
        <v>1290150120</v>
      </c>
      <c r="O27" s="280">
        <f t="shared" si="4"/>
        <v>1280150120</v>
      </c>
      <c r="P27" s="280">
        <f t="shared" si="4"/>
        <v>880150120</v>
      </c>
      <c r="Q27" s="280">
        <f t="shared" si="4"/>
        <v>1005150120</v>
      </c>
      <c r="R27" s="851">
        <f t="shared" si="4"/>
        <v>1602565640</v>
      </c>
      <c r="S27" s="280">
        <f t="shared" si="0"/>
        <v>597415520</v>
      </c>
    </row>
    <row r="28" spans="1:19" ht="26.1" customHeight="1">
      <c r="A28" s="476">
        <v>2220</v>
      </c>
      <c r="B28" s="280" t="s">
        <v>240</v>
      </c>
      <c r="C28" s="246"/>
      <c r="D28" s="246"/>
      <c r="E28" s="246"/>
      <c r="F28" s="246"/>
      <c r="G28" s="246"/>
      <c r="H28" s="246"/>
      <c r="I28" s="246">
        <v>0</v>
      </c>
      <c r="J28" s="246">
        <v>35000000</v>
      </c>
      <c r="K28" s="280"/>
      <c r="L28" s="280"/>
      <c r="M28" s="280"/>
      <c r="N28" s="280"/>
      <c r="O28" s="280"/>
      <c r="P28" s="280"/>
      <c r="Q28" s="280"/>
      <c r="R28" s="851"/>
      <c r="S28" s="246">
        <f t="shared" si="0"/>
        <v>0</v>
      </c>
    </row>
    <row r="29" spans="1:19" ht="26.1" customHeight="1">
      <c r="A29" s="392">
        <v>22201</v>
      </c>
      <c r="B29" s="246" t="s">
        <v>132</v>
      </c>
      <c r="C29" s="280" t="e">
        <f>#REF!+#REF!+#REF!+#REF!+#REF!</f>
        <v>#REF!</v>
      </c>
      <c r="D29" s="280" t="e">
        <f>#REF!+#REF!+#REF!+#REF!+#REF!</f>
        <v>#REF!</v>
      </c>
      <c r="E29" s="280" t="e">
        <f>#REF!+#REF!+#REF!+#REF!+#REF!</f>
        <v>#REF!</v>
      </c>
      <c r="F29" s="280" t="e">
        <f>#REF!+#REF!+#REF!+#REF!+#REF!</f>
        <v>#REF!</v>
      </c>
      <c r="G29" s="280" t="e">
        <f>#REF!+#REF!+#REF!+#REF!+#REF!</f>
        <v>#REF!</v>
      </c>
      <c r="H29" s="280" t="e">
        <f>#REF!+#REF!+#REF!+#REF!+#REF!</f>
        <v>#REF!</v>
      </c>
      <c r="I29" s="280" t="e">
        <f>#REF!+#REF!+#REF!+#REF!+#REF!</f>
        <v>#REF!</v>
      </c>
      <c r="J29" s="280" t="e">
        <f>#REF!+#REF!+#REF!+#REF!+#REF!</f>
        <v>#REF!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840">
        <v>0</v>
      </c>
      <c r="S29" s="246">
        <f t="shared" si="0"/>
        <v>0</v>
      </c>
    </row>
    <row r="30" spans="1:19" ht="26.1" customHeight="1">
      <c r="A30" s="392">
        <v>22202</v>
      </c>
      <c r="B30" s="246" t="s">
        <v>133</v>
      </c>
      <c r="C30" s="292"/>
      <c r="D30" s="292"/>
      <c r="E30" s="292"/>
      <c r="F30" s="274">
        <v>0</v>
      </c>
      <c r="G30" s="274" t="s">
        <v>4</v>
      </c>
      <c r="H30" s="274"/>
      <c r="I30" s="274"/>
      <c r="J30" s="274"/>
      <c r="K30" s="246">
        <v>69000000</v>
      </c>
      <c r="L30" s="246">
        <f>69000000*70%</f>
        <v>48300000</v>
      </c>
      <c r="M30" s="246">
        <f>L30*80%</f>
        <v>38640000</v>
      </c>
      <c r="N30" s="246">
        <v>58640000</v>
      </c>
      <c r="O30" s="246">
        <v>88640000</v>
      </c>
      <c r="P30" s="246">
        <v>88640000</v>
      </c>
      <c r="Q30" s="246">
        <v>88640000</v>
      </c>
      <c r="R30" s="840">
        <v>168000000</v>
      </c>
      <c r="S30" s="246">
        <f t="shared" si="0"/>
        <v>79360000</v>
      </c>
    </row>
    <row r="31" spans="1:19" ht="26.1" customHeight="1">
      <c r="A31" s="392">
        <v>22203</v>
      </c>
      <c r="B31" s="246" t="s">
        <v>127</v>
      </c>
      <c r="C31" s="292"/>
      <c r="D31" s="292"/>
      <c r="E31" s="292"/>
      <c r="F31" s="274"/>
      <c r="G31" s="274"/>
      <c r="H31" s="274"/>
      <c r="I31" s="274"/>
      <c r="J31" s="274"/>
      <c r="K31" s="246">
        <v>14151200</v>
      </c>
      <c r="L31" s="246">
        <f>14151200*70%</f>
        <v>9905840</v>
      </c>
      <c r="M31" s="246">
        <f>14151200*70%</f>
        <v>9905840</v>
      </c>
      <c r="N31" s="246">
        <v>19905840</v>
      </c>
      <c r="O31" s="246">
        <v>24905840</v>
      </c>
      <c r="P31" s="246">
        <v>24905840</v>
      </c>
      <c r="Q31" s="246">
        <v>24905840</v>
      </c>
      <c r="R31" s="840">
        <v>24905840</v>
      </c>
      <c r="S31" s="246">
        <f t="shared" si="0"/>
        <v>0</v>
      </c>
    </row>
    <row r="32" spans="1:19" ht="26.1" customHeight="1">
      <c r="A32" s="392">
        <v>22204</v>
      </c>
      <c r="B32" s="246" t="s">
        <v>128</v>
      </c>
      <c r="C32" s="246"/>
      <c r="D32" s="246"/>
      <c r="E32" s="246"/>
      <c r="F32" s="246"/>
      <c r="G32" s="246"/>
      <c r="H32" s="246"/>
      <c r="I32" s="246"/>
      <c r="J32" s="246"/>
      <c r="K32" s="274">
        <v>1489600</v>
      </c>
      <c r="L32" s="274">
        <f t="shared" ref="L32:R32" si="5">1489600*70%</f>
        <v>1042719.9999999999</v>
      </c>
      <c r="M32" s="274">
        <f t="shared" si="5"/>
        <v>1042719.9999999999</v>
      </c>
      <c r="N32" s="274">
        <f t="shared" si="5"/>
        <v>1042719.9999999999</v>
      </c>
      <c r="O32" s="274">
        <f t="shared" si="5"/>
        <v>1042719.9999999999</v>
      </c>
      <c r="P32" s="274">
        <f t="shared" si="5"/>
        <v>1042719.9999999999</v>
      </c>
      <c r="Q32" s="274">
        <f t="shared" si="5"/>
        <v>1042719.9999999999</v>
      </c>
      <c r="R32" s="853">
        <f t="shared" si="5"/>
        <v>1042719.9999999999</v>
      </c>
      <c r="S32" s="246">
        <f t="shared" si="0"/>
        <v>0</v>
      </c>
    </row>
    <row r="33" spans="1:19" ht="26.1" customHeight="1">
      <c r="A33" s="392">
        <v>22205</v>
      </c>
      <c r="B33" s="246" t="s">
        <v>134</v>
      </c>
      <c r="C33" s="246">
        <v>4000000</v>
      </c>
      <c r="D33" s="246">
        <v>2000000</v>
      </c>
      <c r="E33" s="246">
        <v>0</v>
      </c>
      <c r="F33" s="246">
        <v>0</v>
      </c>
      <c r="G33" s="246">
        <v>0</v>
      </c>
      <c r="H33" s="246">
        <v>200000000</v>
      </c>
      <c r="I33" s="246">
        <v>200000000</v>
      </c>
      <c r="J33" s="246">
        <v>200000000</v>
      </c>
      <c r="K33" s="274">
        <v>0</v>
      </c>
      <c r="L33" s="274">
        <v>0</v>
      </c>
      <c r="M33" s="274">
        <v>0</v>
      </c>
      <c r="N33" s="274">
        <v>0</v>
      </c>
      <c r="O33" s="274">
        <v>0</v>
      </c>
      <c r="P33" s="274">
        <v>0</v>
      </c>
      <c r="Q33" s="274">
        <v>0</v>
      </c>
      <c r="R33" s="853">
        <v>0</v>
      </c>
      <c r="S33" s="246">
        <f t="shared" si="0"/>
        <v>0</v>
      </c>
    </row>
    <row r="34" spans="1:19" ht="26.1" customHeight="1">
      <c r="A34" s="392"/>
      <c r="B34" s="280" t="s">
        <v>92</v>
      </c>
      <c r="C34" s="246">
        <v>10089000</v>
      </c>
      <c r="D34" s="246">
        <v>10004000</v>
      </c>
      <c r="E34" s="246">
        <v>20004000</v>
      </c>
      <c r="F34" s="246">
        <v>20004000</v>
      </c>
      <c r="G34" s="246">
        <v>40003200</v>
      </c>
      <c r="H34" s="246">
        <v>100000000</v>
      </c>
      <c r="I34" s="246">
        <v>100000000</v>
      </c>
      <c r="J34" s="246">
        <v>100000000</v>
      </c>
      <c r="K34" s="280">
        <f t="shared" ref="K34:P34" si="6">SUM(K29:K33)</f>
        <v>84640800</v>
      </c>
      <c r="L34" s="280">
        <f t="shared" si="6"/>
        <v>59248560</v>
      </c>
      <c r="M34" s="280">
        <f t="shared" si="6"/>
        <v>49588560</v>
      </c>
      <c r="N34" s="280">
        <f t="shared" si="6"/>
        <v>79588560</v>
      </c>
      <c r="O34" s="280">
        <f t="shared" si="6"/>
        <v>114588560</v>
      </c>
      <c r="P34" s="280">
        <f t="shared" si="6"/>
        <v>114588560</v>
      </c>
      <c r="Q34" s="280">
        <f>SUM(Q29:Q33)</f>
        <v>114588560</v>
      </c>
      <c r="R34" s="851">
        <f>SUM(R29:R33)</f>
        <v>193948560</v>
      </c>
      <c r="S34" s="280">
        <f t="shared" si="0"/>
        <v>79360000</v>
      </c>
    </row>
    <row r="35" spans="1:19" ht="26.1" customHeight="1">
      <c r="A35" s="476">
        <v>2230</v>
      </c>
      <c r="B35" s="280" t="s">
        <v>130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616200000</v>
      </c>
      <c r="I35" s="246">
        <v>616200000</v>
      </c>
      <c r="J35" s="246">
        <v>616200000</v>
      </c>
      <c r="K35" s="246"/>
      <c r="L35" s="246"/>
      <c r="M35" s="246"/>
      <c r="N35" s="246"/>
      <c r="O35" s="246"/>
      <c r="P35" s="246"/>
      <c r="Q35" s="246"/>
      <c r="R35" s="840"/>
      <c r="S35" s="246">
        <f t="shared" si="0"/>
        <v>0</v>
      </c>
    </row>
    <row r="36" spans="1:19" ht="26.1" customHeight="1">
      <c r="A36" s="392">
        <v>22301</v>
      </c>
      <c r="B36" s="246" t="s">
        <v>49</v>
      </c>
      <c r="C36" s="246">
        <v>13333000</v>
      </c>
      <c r="D36" s="246">
        <v>5000000</v>
      </c>
      <c r="E36" s="246">
        <v>0</v>
      </c>
      <c r="F36" s="246">
        <v>0</v>
      </c>
      <c r="G36" s="246">
        <v>0</v>
      </c>
      <c r="H36" s="246">
        <v>100000000</v>
      </c>
      <c r="I36" s="246">
        <v>70000000</v>
      </c>
      <c r="J36" s="246">
        <v>70000000</v>
      </c>
      <c r="K36" s="246">
        <v>4000000</v>
      </c>
      <c r="L36" s="246">
        <f t="shared" ref="L36:P36" si="7">4000000*70%</f>
        <v>2800000</v>
      </c>
      <c r="M36" s="246">
        <f t="shared" si="7"/>
        <v>2800000</v>
      </c>
      <c r="N36" s="246">
        <f t="shared" si="7"/>
        <v>2800000</v>
      </c>
      <c r="O36" s="246">
        <f t="shared" si="7"/>
        <v>2800000</v>
      </c>
      <c r="P36" s="246">
        <f t="shared" si="7"/>
        <v>2800000</v>
      </c>
      <c r="Q36" s="246">
        <v>52800000</v>
      </c>
      <c r="R36" s="840">
        <v>52800000</v>
      </c>
      <c r="S36" s="246">
        <f t="shared" si="0"/>
        <v>0</v>
      </c>
    </row>
    <row r="37" spans="1:19" ht="26.1" customHeight="1">
      <c r="A37" s="392">
        <v>22302</v>
      </c>
      <c r="B37" s="246" t="s">
        <v>249</v>
      </c>
      <c r="C37" s="246">
        <v>0</v>
      </c>
      <c r="D37" s="246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1558122</v>
      </c>
      <c r="L37" s="246">
        <f t="shared" ref="L37:R37" si="8">1558122*70%</f>
        <v>1090685.3999999999</v>
      </c>
      <c r="M37" s="246">
        <f t="shared" si="8"/>
        <v>1090685.3999999999</v>
      </c>
      <c r="N37" s="246">
        <f t="shared" si="8"/>
        <v>1090685.3999999999</v>
      </c>
      <c r="O37" s="246">
        <f t="shared" si="8"/>
        <v>1090685.3999999999</v>
      </c>
      <c r="P37" s="246">
        <f t="shared" si="8"/>
        <v>1090685.3999999999</v>
      </c>
      <c r="Q37" s="246">
        <f t="shared" si="8"/>
        <v>1090685.3999999999</v>
      </c>
      <c r="R37" s="840">
        <f t="shared" si="8"/>
        <v>1090685.3999999999</v>
      </c>
      <c r="S37" s="246">
        <f t="shared" si="0"/>
        <v>0</v>
      </c>
    </row>
    <row r="38" spans="1:19" ht="26.1" customHeight="1">
      <c r="A38" s="392">
        <v>22313</v>
      </c>
      <c r="B38" s="246" t="s">
        <v>251</v>
      </c>
      <c r="C38" s="280">
        <f t="shared" ref="C38:J38" si="9">SUM(C36:C37)</f>
        <v>13333000</v>
      </c>
      <c r="D38" s="280">
        <f t="shared" si="9"/>
        <v>5000000</v>
      </c>
      <c r="E38" s="280">
        <f t="shared" si="9"/>
        <v>0</v>
      </c>
      <c r="F38" s="280">
        <f t="shared" si="9"/>
        <v>0</v>
      </c>
      <c r="G38" s="280">
        <f t="shared" si="9"/>
        <v>0</v>
      </c>
      <c r="H38" s="280">
        <f t="shared" si="9"/>
        <v>100000000</v>
      </c>
      <c r="I38" s="280">
        <f t="shared" si="9"/>
        <v>70000000</v>
      </c>
      <c r="J38" s="280">
        <f t="shared" si="9"/>
        <v>70000000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840">
        <v>0</v>
      </c>
      <c r="S38" s="246">
        <f t="shared" si="0"/>
        <v>0</v>
      </c>
    </row>
    <row r="39" spans="1:19" ht="26.1" customHeight="1">
      <c r="A39" s="392"/>
      <c r="B39" s="280" t="s">
        <v>92</v>
      </c>
      <c r="C39" s="280" t="e">
        <f>C38+#REF!+C32+#REF!+#REF!</f>
        <v>#REF!</v>
      </c>
      <c r="D39" s="280" t="e">
        <f>D38+#REF!+D32+#REF!+#REF!</f>
        <v>#REF!</v>
      </c>
      <c r="E39" s="280" t="e">
        <f>E38+#REF!+E32+#REF!+#REF!</f>
        <v>#REF!</v>
      </c>
      <c r="F39" s="280" t="e">
        <f>F38+#REF!+F32+#REF!+#REF!</f>
        <v>#REF!</v>
      </c>
      <c r="G39" s="280" t="e">
        <f>G38+#REF!+#REF!+G32+#REF!</f>
        <v>#REF!</v>
      </c>
      <c r="H39" s="280" t="e">
        <f>H38+#REF!+H32+#REF!+#REF!</f>
        <v>#REF!</v>
      </c>
      <c r="I39" s="280" t="e">
        <f>I38+#REF!+I32+#REF!+#REF!</f>
        <v>#REF!</v>
      </c>
      <c r="J39" s="280" t="e">
        <f>SUM(#REF!+#REF!+J32+J38)</f>
        <v>#REF!</v>
      </c>
      <c r="K39" s="280">
        <f t="shared" ref="K39:O39" si="10">SUM(K36:K38)</f>
        <v>5558122</v>
      </c>
      <c r="L39" s="280">
        <f t="shared" si="10"/>
        <v>3890685.4</v>
      </c>
      <c r="M39" s="280">
        <f t="shared" si="10"/>
        <v>3890685.4</v>
      </c>
      <c r="N39" s="280">
        <f t="shared" si="10"/>
        <v>3890685.4</v>
      </c>
      <c r="O39" s="280">
        <f t="shared" si="10"/>
        <v>3890685.4</v>
      </c>
      <c r="P39" s="280">
        <f>SUM(P36:P38)</f>
        <v>3890685.4</v>
      </c>
      <c r="Q39" s="280">
        <f>SUM(Q36:Q38)</f>
        <v>53890685.399999999</v>
      </c>
      <c r="R39" s="851">
        <f>SUM(R36:R38)</f>
        <v>53890685.399999999</v>
      </c>
      <c r="S39" s="280">
        <f t="shared" si="0"/>
        <v>0</v>
      </c>
    </row>
    <row r="40" spans="1:19" ht="26.1" customHeight="1">
      <c r="A40" s="476">
        <v>270</v>
      </c>
      <c r="B40" s="280" t="s">
        <v>253</v>
      </c>
      <c r="C40" s="246"/>
      <c r="D40" s="246"/>
      <c r="E40" s="246"/>
      <c r="F40" s="246"/>
      <c r="G40" s="246"/>
      <c r="H40" s="246"/>
      <c r="I40" s="246"/>
      <c r="J40" s="246"/>
      <c r="K40" s="280"/>
      <c r="L40" s="280"/>
      <c r="M40" s="280"/>
      <c r="N40" s="280"/>
      <c r="O40" s="280"/>
      <c r="P40" s="280"/>
      <c r="Q40" s="280"/>
      <c r="R40" s="851"/>
      <c r="S40" s="246">
        <f t="shared" si="0"/>
        <v>0</v>
      </c>
    </row>
    <row r="41" spans="1:19" ht="26.1" customHeight="1">
      <c r="A41" s="476">
        <v>2710</v>
      </c>
      <c r="B41" s="280" t="s">
        <v>252</v>
      </c>
      <c r="C41" s="246"/>
      <c r="D41" s="246"/>
      <c r="E41" s="246"/>
      <c r="F41" s="246"/>
      <c r="G41" s="246"/>
      <c r="H41" s="246"/>
      <c r="I41" s="246"/>
      <c r="J41" s="246"/>
      <c r="K41" s="280"/>
      <c r="L41" s="280"/>
      <c r="M41" s="280"/>
      <c r="N41" s="280"/>
      <c r="O41" s="280"/>
      <c r="P41" s="280"/>
      <c r="Q41" s="280"/>
      <c r="R41" s="851"/>
      <c r="S41" s="246">
        <f t="shared" si="0"/>
        <v>0</v>
      </c>
    </row>
    <row r="42" spans="1:19" ht="26.1" customHeight="1">
      <c r="A42" s="392">
        <v>27601</v>
      </c>
      <c r="B42" s="246" t="s">
        <v>480</v>
      </c>
      <c r="C42" s="246"/>
      <c r="D42" s="246"/>
      <c r="E42" s="246"/>
      <c r="F42" s="246"/>
      <c r="G42" s="246"/>
      <c r="H42" s="246"/>
      <c r="I42" s="246"/>
      <c r="J42" s="246"/>
      <c r="K42" s="246">
        <v>0</v>
      </c>
      <c r="L42" s="246">
        <v>46690000</v>
      </c>
      <c r="M42" s="246">
        <v>0</v>
      </c>
      <c r="N42" s="246">
        <v>30000000</v>
      </c>
      <c r="O42" s="246">
        <v>130000000</v>
      </c>
      <c r="P42" s="246">
        <v>0</v>
      </c>
      <c r="Q42" s="246">
        <v>200000000</v>
      </c>
      <c r="R42" s="840">
        <v>0</v>
      </c>
      <c r="S42" s="246">
        <f t="shared" si="0"/>
        <v>-200000000</v>
      </c>
    </row>
    <row r="43" spans="1:19" ht="26.1" customHeight="1">
      <c r="A43" s="392">
        <v>27402</v>
      </c>
      <c r="B43" s="246" t="s">
        <v>265</v>
      </c>
      <c r="C43" s="246"/>
      <c r="D43" s="246"/>
      <c r="E43" s="246"/>
      <c r="F43" s="246"/>
      <c r="G43" s="246"/>
      <c r="H43" s="246"/>
      <c r="I43" s="246"/>
      <c r="J43" s="246"/>
      <c r="K43" s="246">
        <v>0</v>
      </c>
      <c r="L43" s="246">
        <v>0</v>
      </c>
      <c r="M43" s="246">
        <v>96000000</v>
      </c>
      <c r="N43" s="246">
        <v>108000000</v>
      </c>
      <c r="O43" s="246">
        <v>120000000</v>
      </c>
      <c r="P43" s="246">
        <v>0</v>
      </c>
      <c r="Q43" s="246">
        <v>120000000</v>
      </c>
      <c r="R43" s="840">
        <v>150000000</v>
      </c>
      <c r="S43" s="246">
        <f t="shared" si="0"/>
        <v>30000000</v>
      </c>
    </row>
    <row r="44" spans="1:19" ht="26.1" customHeight="1">
      <c r="A44" s="392"/>
      <c r="B44" s="280" t="s">
        <v>92</v>
      </c>
      <c r="C44" s="246"/>
      <c r="D44" s="246"/>
      <c r="E44" s="246"/>
      <c r="F44" s="246"/>
      <c r="G44" s="246"/>
      <c r="H44" s="246"/>
      <c r="I44" s="246"/>
      <c r="J44" s="246"/>
      <c r="K44" s="280">
        <f t="shared" ref="K44:Q44" si="11">SUM(K42:K43)</f>
        <v>0</v>
      </c>
      <c r="L44" s="280">
        <f t="shared" si="11"/>
        <v>46690000</v>
      </c>
      <c r="M44" s="280">
        <f t="shared" si="11"/>
        <v>96000000</v>
      </c>
      <c r="N44" s="280">
        <f t="shared" si="11"/>
        <v>138000000</v>
      </c>
      <c r="O44" s="280">
        <f t="shared" si="11"/>
        <v>250000000</v>
      </c>
      <c r="P44" s="280">
        <f t="shared" si="11"/>
        <v>0</v>
      </c>
      <c r="Q44" s="280">
        <f t="shared" si="11"/>
        <v>320000000</v>
      </c>
      <c r="R44" s="851">
        <f t="shared" ref="R44" si="12">SUM(R42:R43)</f>
        <v>150000000</v>
      </c>
      <c r="S44" s="280">
        <f t="shared" si="0"/>
        <v>-170000000</v>
      </c>
    </row>
    <row r="45" spans="1:19" ht="26.1" customHeight="1">
      <c r="A45" s="476">
        <v>2720</v>
      </c>
      <c r="B45" s="280" t="s">
        <v>469</v>
      </c>
      <c r="C45" s="246"/>
      <c r="D45" s="246"/>
      <c r="E45" s="246"/>
      <c r="F45" s="246"/>
      <c r="G45" s="246"/>
      <c r="H45" s="246"/>
      <c r="I45" s="246"/>
      <c r="J45" s="246"/>
      <c r="K45" s="280"/>
      <c r="L45" s="280"/>
      <c r="M45" s="280"/>
      <c r="N45" s="280"/>
      <c r="O45" s="280"/>
      <c r="P45" s="280"/>
      <c r="Q45" s="280"/>
      <c r="R45" s="851"/>
      <c r="S45" s="246">
        <f t="shared" si="0"/>
        <v>0</v>
      </c>
    </row>
    <row r="46" spans="1:19" ht="26.1" customHeight="1">
      <c r="A46" s="392">
        <v>27202</v>
      </c>
      <c r="B46" s="246" t="s">
        <v>1050</v>
      </c>
      <c r="C46" s="246"/>
      <c r="D46" s="246"/>
      <c r="E46" s="246"/>
      <c r="F46" s="246"/>
      <c r="G46" s="246"/>
      <c r="H46" s="246"/>
      <c r="I46" s="246"/>
      <c r="J46" s="246"/>
      <c r="K46" s="280"/>
      <c r="L46" s="280"/>
      <c r="M46" s="280"/>
      <c r="N46" s="280"/>
      <c r="O46" s="280"/>
      <c r="P46" s="246">
        <v>1790000000</v>
      </c>
      <c r="Q46" s="246">
        <v>170000000</v>
      </c>
      <c r="R46" s="840">
        <v>0</v>
      </c>
      <c r="S46" s="246">
        <f t="shared" si="0"/>
        <v>-170000000</v>
      </c>
    </row>
    <row r="47" spans="1:19" ht="26.1" customHeight="1">
      <c r="A47" s="392"/>
      <c r="B47" s="280" t="s">
        <v>92</v>
      </c>
      <c r="C47" s="246"/>
      <c r="D47" s="246"/>
      <c r="E47" s="246"/>
      <c r="F47" s="246"/>
      <c r="G47" s="246"/>
      <c r="H47" s="246"/>
      <c r="I47" s="246"/>
      <c r="J47" s="246"/>
      <c r="K47" s="280"/>
      <c r="L47" s="280"/>
      <c r="M47" s="280"/>
      <c r="N47" s="280"/>
      <c r="O47" s="280"/>
      <c r="P47" s="280">
        <f>SUM(P46)</f>
        <v>1790000000</v>
      </c>
      <c r="Q47" s="280">
        <f>SUM(Q46)</f>
        <v>170000000</v>
      </c>
      <c r="R47" s="851">
        <f>SUM(R46)</f>
        <v>0</v>
      </c>
      <c r="S47" s="246">
        <f t="shared" si="0"/>
        <v>-170000000</v>
      </c>
    </row>
    <row r="48" spans="1:19" ht="26.1" customHeight="1">
      <c r="A48" s="520">
        <v>2630</v>
      </c>
      <c r="B48" s="521" t="s">
        <v>426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840"/>
      <c r="S48" s="246">
        <f t="shared" si="0"/>
        <v>0</v>
      </c>
    </row>
    <row r="49" spans="1:19" ht="26.1" customHeight="1">
      <c r="A49" s="392">
        <v>26316</v>
      </c>
      <c r="B49" s="246" t="s">
        <v>1310</v>
      </c>
      <c r="C49" s="246"/>
      <c r="D49" s="246"/>
      <c r="E49" s="246"/>
      <c r="F49" s="246"/>
      <c r="G49" s="246"/>
      <c r="H49" s="246"/>
      <c r="I49" s="246"/>
      <c r="J49" s="246">
        <v>350400000</v>
      </c>
      <c r="K49" s="246">
        <v>145236000</v>
      </c>
      <c r="L49" s="246">
        <v>101665200</v>
      </c>
      <c r="M49" s="246">
        <v>101665200</v>
      </c>
      <c r="N49" s="246">
        <v>251665200</v>
      </c>
      <c r="O49" s="246">
        <v>501665200</v>
      </c>
      <c r="P49" s="246">
        <v>1761665200</v>
      </c>
      <c r="Q49" s="246">
        <v>2085665200</v>
      </c>
      <c r="R49" s="840">
        <v>2985665200</v>
      </c>
      <c r="S49" s="246">
        <f t="shared" si="0"/>
        <v>900000000</v>
      </c>
    </row>
    <row r="50" spans="1:19" ht="26.1" customHeight="1">
      <c r="A50" s="392"/>
      <c r="B50" s="280" t="s">
        <v>92</v>
      </c>
      <c r="C50" s="246"/>
      <c r="D50" s="246"/>
      <c r="E50" s="246"/>
      <c r="F50" s="246"/>
      <c r="G50" s="246"/>
      <c r="H50" s="246"/>
      <c r="I50" s="246"/>
      <c r="J50" s="280">
        <f>SUM(J49)</f>
        <v>350400000</v>
      </c>
      <c r="K50" s="280">
        <v>145236000</v>
      </c>
      <c r="L50" s="280">
        <f t="shared" ref="L50:O50" si="13">L49</f>
        <v>101665200</v>
      </c>
      <c r="M50" s="280">
        <f t="shared" si="13"/>
        <v>101665200</v>
      </c>
      <c r="N50" s="280">
        <f t="shared" si="13"/>
        <v>251665200</v>
      </c>
      <c r="O50" s="280">
        <f t="shared" si="13"/>
        <v>501665200</v>
      </c>
      <c r="P50" s="280">
        <f>P49</f>
        <v>1761665200</v>
      </c>
      <c r="Q50" s="280">
        <f>Q49</f>
        <v>2085665200</v>
      </c>
      <c r="R50" s="851">
        <f>R49</f>
        <v>2985665200</v>
      </c>
      <c r="S50" s="280">
        <f t="shared" si="0"/>
        <v>900000000</v>
      </c>
    </row>
    <row r="51" spans="1:19" ht="26.1" customHeight="1">
      <c r="A51" s="392">
        <v>29320</v>
      </c>
      <c r="B51" s="280" t="s">
        <v>1488</v>
      </c>
      <c r="C51" s="246"/>
      <c r="D51" s="246"/>
      <c r="E51" s="246"/>
      <c r="F51" s="246"/>
      <c r="G51" s="246"/>
      <c r="H51" s="246"/>
      <c r="I51" s="246"/>
      <c r="J51" s="280"/>
      <c r="K51" s="280"/>
      <c r="L51" s="280"/>
      <c r="M51" s="280"/>
      <c r="N51" s="280"/>
      <c r="O51" s="280"/>
      <c r="P51" s="280"/>
      <c r="Q51" s="280"/>
      <c r="R51" s="851"/>
      <c r="S51" s="280">
        <f t="shared" si="0"/>
        <v>0</v>
      </c>
    </row>
    <row r="52" spans="1:19" ht="26.1" customHeight="1">
      <c r="A52" s="392">
        <v>29321</v>
      </c>
      <c r="B52" s="246" t="s">
        <v>1489</v>
      </c>
      <c r="C52" s="246"/>
      <c r="D52" s="246"/>
      <c r="E52" s="246"/>
      <c r="F52" s="246"/>
      <c r="G52" s="246"/>
      <c r="H52" s="246"/>
      <c r="I52" s="246"/>
      <c r="J52" s="280"/>
      <c r="K52" s="280"/>
      <c r="L52" s="280"/>
      <c r="M52" s="280"/>
      <c r="N52" s="280"/>
      <c r="O52" s="280"/>
      <c r="P52" s="280"/>
      <c r="Q52" s="280">
        <v>0</v>
      </c>
      <c r="R52" s="840">
        <v>14447120340</v>
      </c>
      <c r="S52" s="280">
        <f t="shared" si="0"/>
        <v>14447120340</v>
      </c>
    </row>
    <row r="53" spans="1:19" ht="26.1" customHeight="1">
      <c r="A53" s="392"/>
      <c r="B53" s="280"/>
      <c r="C53" s="246"/>
      <c r="D53" s="246"/>
      <c r="E53" s="246"/>
      <c r="F53" s="246"/>
      <c r="G53" s="246"/>
      <c r="H53" s="246"/>
      <c r="I53" s="246"/>
      <c r="J53" s="280"/>
      <c r="K53" s="280"/>
      <c r="L53" s="280"/>
      <c r="M53" s="280"/>
      <c r="N53" s="280"/>
      <c r="O53" s="280"/>
      <c r="P53" s="280"/>
      <c r="Q53" s="280"/>
      <c r="R53" s="851">
        <f>SUM(R52)</f>
        <v>14447120340</v>
      </c>
      <c r="S53" s="280"/>
    </row>
    <row r="54" spans="1:19" ht="26.1" customHeight="1">
      <c r="A54" s="392"/>
      <c r="B54" s="280" t="s">
        <v>37</v>
      </c>
      <c r="C54" s="246"/>
      <c r="D54" s="246"/>
      <c r="E54" s="246"/>
      <c r="F54" s="246"/>
      <c r="G54" s="246"/>
      <c r="H54" s="246"/>
      <c r="I54" s="246"/>
      <c r="J54" s="246"/>
      <c r="K54" s="280">
        <f>K50+K44+K39+K34+K27+K14</f>
        <v>907223322</v>
      </c>
      <c r="L54" s="280">
        <f>L50+L44+L39+L34+L27+L14</f>
        <v>1331654085.4000001</v>
      </c>
      <c r="M54" s="280" t="e">
        <f>#REF!+M50+M39+M34+M27+M14+M44</f>
        <v>#REF!</v>
      </c>
      <c r="N54" s="280" t="e">
        <f>#REF!+N50+N39+N34+N27+N14+N44</f>
        <v>#REF!</v>
      </c>
      <c r="O54" s="280">
        <f>O14+O27+O34+O39+O44+O47+O50</f>
        <v>4626441445.3999996</v>
      </c>
      <c r="P54" s="280">
        <f>P50+P47+P44+P39+P34+P27+P14+P9</f>
        <v>8490980645.3999996</v>
      </c>
      <c r="Q54" s="280">
        <f>Q50+Q47+Q44+Q39+Q34+Q27+Q14+Q9</f>
        <v>8096424805.3999996</v>
      </c>
      <c r="R54" s="851">
        <f>R50+R47+R44+R39+R34+R27+R14+R9+R53</f>
        <v>24328378617.400002</v>
      </c>
      <c r="S54" s="280">
        <f t="shared" si="0"/>
        <v>16231953812.000002</v>
      </c>
    </row>
    <row r="55" spans="1:19" ht="26.1" customHeight="1">
      <c r="A55" s="499"/>
      <c r="B55" s="500"/>
      <c r="C55" s="500"/>
      <c r="D55" s="500"/>
      <c r="E55" s="500"/>
      <c r="F55" s="500"/>
      <c r="G55" s="500"/>
      <c r="H55" s="500"/>
      <c r="I55" s="500"/>
      <c r="J55" s="500"/>
      <c r="K55" s="501"/>
      <c r="L55" s="501"/>
      <c r="M55" s="501"/>
      <c r="N55" s="501"/>
      <c r="O55" s="501"/>
      <c r="P55" s="501"/>
      <c r="Q55" s="501"/>
      <c r="R55" s="501"/>
    </row>
    <row r="62" spans="1:19" ht="26.1" customHeight="1">
      <c r="B62" s="523"/>
    </row>
  </sheetData>
  <phoneticPr fontId="0" type="noConversion"/>
  <printOptions gridLines="1"/>
  <pageMargins left="0.67" right="0.33" top="0.54" bottom="0.48" header="0.17" footer="0.17"/>
  <pageSetup scale="50" orientation="portrait" r:id="rId1"/>
  <headerFooter alignWithMargins="0">
    <oddHeader>&amp;C&amp;"Algerian,Bold"&amp;36HAY'ADDA SHAQAALAHA DAWLADA</oddHeader>
    <oddFooter>&amp;C&amp;"Algerian,Regular"&amp;18 &amp;R&amp;"Times New Roman,Bold"&amp;14 &amp;18 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48"/>
  <sheetViews>
    <sheetView view="pageBreakPreview" topLeftCell="A31" zoomScale="60" workbookViewId="0">
      <selection activeCell="S48" sqref="S48"/>
    </sheetView>
  </sheetViews>
  <sheetFormatPr defaultRowHeight="24.95" customHeight="1"/>
  <cols>
    <col min="1" max="1" width="18.1640625" style="525" bestFit="1" customWidth="1"/>
    <col min="2" max="2" width="85.5" style="525" customWidth="1"/>
    <col min="3" max="3" width="19" style="525" hidden="1" customWidth="1"/>
    <col min="4" max="4" width="15.83203125" style="525" hidden="1" customWidth="1"/>
    <col min="5" max="5" width="18" style="525" hidden="1" customWidth="1"/>
    <col min="6" max="6" width="2.1640625" style="525" hidden="1" customWidth="1"/>
    <col min="7" max="7" width="18.6640625" style="525" hidden="1" customWidth="1"/>
    <col min="8" max="8" width="0.1640625" style="525" hidden="1" customWidth="1"/>
    <col min="9" max="9" width="28.83203125" style="525" hidden="1" customWidth="1"/>
    <col min="10" max="11" width="14.33203125" style="525" hidden="1" customWidth="1"/>
    <col min="12" max="12" width="25" style="525" hidden="1" customWidth="1"/>
    <col min="13" max="13" width="24.33203125" style="525" hidden="1" customWidth="1"/>
    <col min="14" max="17" width="27.6640625" style="525" hidden="1" customWidth="1"/>
    <col min="18" max="19" width="27.6640625" style="525" customWidth="1"/>
    <col min="20" max="20" width="27.6640625" style="525" bestFit="1" customWidth="1"/>
    <col min="21" max="16384" width="9.33203125" style="525"/>
  </cols>
  <sheetData>
    <row r="1" spans="1:20" ht="24.95" customHeight="1">
      <c r="A1" s="476" t="s">
        <v>39</v>
      </c>
      <c r="B1" s="303" t="s">
        <v>989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80"/>
      <c r="O1" s="280"/>
      <c r="P1" s="280"/>
      <c r="Q1" s="280"/>
      <c r="R1" s="280"/>
      <c r="S1" s="280"/>
      <c r="T1" s="524"/>
    </row>
    <row r="2" spans="1:20" ht="24.95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107</v>
      </c>
      <c r="K2" s="286" t="s">
        <v>138</v>
      </c>
      <c r="L2" s="286" t="s">
        <v>266</v>
      </c>
      <c r="M2" s="286" t="s">
        <v>260</v>
      </c>
      <c r="N2" s="286" t="s">
        <v>811</v>
      </c>
      <c r="O2" s="286" t="s">
        <v>810</v>
      </c>
      <c r="P2" s="286" t="s">
        <v>873</v>
      </c>
      <c r="Q2" s="286" t="s">
        <v>973</v>
      </c>
      <c r="R2" s="286" t="s">
        <v>1160</v>
      </c>
      <c r="S2" s="286" t="s">
        <v>1320</v>
      </c>
      <c r="T2" s="286" t="s">
        <v>56</v>
      </c>
    </row>
    <row r="3" spans="1:20" ht="24.95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301"/>
      <c r="M3" s="301"/>
      <c r="N3" s="246"/>
      <c r="O3" s="246"/>
      <c r="P3" s="246"/>
      <c r="Q3" s="246"/>
      <c r="R3" s="246"/>
      <c r="S3" s="246"/>
      <c r="T3" s="246"/>
    </row>
    <row r="4" spans="1:20" ht="24.95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>
        <f>170726400+3198000</f>
        <v>173924400</v>
      </c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24.95" customHeight="1">
      <c r="A5" s="392">
        <v>21101</v>
      </c>
      <c r="B5" s="246" t="s">
        <v>28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197527200</v>
      </c>
      <c r="L5" s="246">
        <v>265824000</v>
      </c>
      <c r="M5" s="246">
        <f>shaqaalaha2011!H10+10171200+3744000</f>
        <v>415646400</v>
      </c>
      <c r="N5" s="246">
        <v>410030400</v>
      </c>
      <c r="O5" s="246">
        <v>410030400</v>
      </c>
      <c r="P5" s="246">
        <v>695036160</v>
      </c>
      <c r="Q5" s="246">
        <v>763738560</v>
      </c>
      <c r="R5" s="246">
        <v>864527040</v>
      </c>
      <c r="S5" s="840">
        <v>1066294944</v>
      </c>
      <c r="T5" s="246">
        <f>S5-R5</f>
        <v>201767904</v>
      </c>
    </row>
    <row r="6" spans="1:20" ht="24.95" customHeight="1">
      <c r="A6" s="392">
        <v>21102</v>
      </c>
      <c r="B6" s="246" t="s">
        <v>606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f>2535276000+2400000</f>
        <v>2537676000</v>
      </c>
      <c r="K6" s="246">
        <v>0</v>
      </c>
      <c r="L6" s="246">
        <v>11280000</v>
      </c>
      <c r="M6" s="246">
        <v>11280000</v>
      </c>
      <c r="N6" s="246">
        <v>89280000</v>
      </c>
      <c r="O6" s="246">
        <v>89280000</v>
      </c>
      <c r="P6" s="246">
        <v>121680000</v>
      </c>
      <c r="Q6" s="246">
        <v>121680000</v>
      </c>
      <c r="R6" s="246">
        <v>121680000</v>
      </c>
      <c r="S6" s="840">
        <v>121680000</v>
      </c>
      <c r="T6" s="246">
        <f t="shared" ref="T6:T48" si="0">S6-R6</f>
        <v>0</v>
      </c>
    </row>
    <row r="7" spans="1:20" ht="24.95" customHeight="1">
      <c r="A7" s="392">
        <v>21103</v>
      </c>
      <c r="B7" s="246" t="s">
        <v>812</v>
      </c>
      <c r="C7" s="246"/>
      <c r="D7" s="246"/>
      <c r="E7" s="246"/>
      <c r="F7" s="246"/>
      <c r="G7" s="246"/>
      <c r="H7" s="246"/>
      <c r="I7" s="246"/>
      <c r="J7" s="246"/>
      <c r="K7" s="246">
        <v>191772000</v>
      </c>
      <c r="L7" s="246">
        <v>31776000</v>
      </c>
      <c r="M7" s="246">
        <v>31776000</v>
      </c>
      <c r="N7" s="246">
        <v>46176000</v>
      </c>
      <c r="O7" s="246">
        <v>64800000</v>
      </c>
      <c r="P7" s="246">
        <v>126000000</v>
      </c>
      <c r="Q7" s="246">
        <v>126000000</v>
      </c>
      <c r="R7" s="246">
        <v>126000000</v>
      </c>
      <c r="S7" s="840">
        <v>126000000</v>
      </c>
      <c r="T7" s="246">
        <f t="shared" si="0"/>
        <v>0</v>
      </c>
    </row>
    <row r="8" spans="1:20" ht="24.95" customHeight="1">
      <c r="A8" s="392">
        <v>21105</v>
      </c>
      <c r="B8" s="246" t="s">
        <v>566</v>
      </c>
      <c r="C8" s="246">
        <v>2500000</v>
      </c>
      <c r="D8" s="246">
        <v>2000000</v>
      </c>
      <c r="E8" s="246">
        <v>2000000</v>
      </c>
      <c r="F8" s="246">
        <v>2000000</v>
      </c>
      <c r="G8" s="246">
        <v>1600000</v>
      </c>
      <c r="H8" s="246">
        <v>41000000</v>
      </c>
      <c r="I8" s="246">
        <v>41000000</v>
      </c>
      <c r="J8" s="246"/>
      <c r="K8" s="246">
        <v>48000000</v>
      </c>
      <c r="L8" s="246">
        <v>337200000</v>
      </c>
      <c r="M8" s="246">
        <v>337200000</v>
      </c>
      <c r="N8" s="246">
        <v>698400000</v>
      </c>
      <c r="O8" s="246">
        <v>698400000</v>
      </c>
      <c r="P8" s="246">
        <v>1142400000</v>
      </c>
      <c r="Q8" s="246">
        <v>1243200000</v>
      </c>
      <c r="R8" s="282">
        <v>1390800000</v>
      </c>
      <c r="S8" s="852">
        <v>1598400000</v>
      </c>
      <c r="T8" s="246">
        <f t="shared" si="0"/>
        <v>207600000</v>
      </c>
    </row>
    <row r="9" spans="1:20" ht="24.95" customHeight="1">
      <c r="A9" s="476">
        <v>2120</v>
      </c>
      <c r="B9" s="280" t="s">
        <v>218</v>
      </c>
      <c r="C9" s="246"/>
      <c r="D9" s="246"/>
      <c r="E9" s="246"/>
      <c r="F9" s="246"/>
      <c r="G9" s="246"/>
      <c r="H9" s="246"/>
      <c r="I9" s="246"/>
      <c r="J9" s="246"/>
      <c r="K9" s="280"/>
      <c r="L9" s="246"/>
      <c r="M9" s="246"/>
      <c r="N9" s="246"/>
      <c r="O9" s="246"/>
      <c r="P9" s="246"/>
      <c r="Q9" s="246"/>
      <c r="R9" s="246"/>
      <c r="S9" s="840"/>
      <c r="T9" s="246">
        <f t="shared" si="0"/>
        <v>0</v>
      </c>
    </row>
    <row r="10" spans="1:20" ht="24.95" customHeight="1">
      <c r="A10" s="392">
        <v>21203</v>
      </c>
      <c r="B10" s="246" t="s">
        <v>223</v>
      </c>
      <c r="C10" s="246">
        <v>18000000</v>
      </c>
      <c r="D10" s="246">
        <f>25000000-2000000</f>
        <v>23000000</v>
      </c>
      <c r="E10" s="246">
        <v>23000000</v>
      </c>
      <c r="F10" s="246">
        <v>23000000</v>
      </c>
      <c r="G10" s="246">
        <v>18400000</v>
      </c>
      <c r="H10" s="246">
        <v>56000000</v>
      </c>
      <c r="I10" s="246">
        <v>100000000</v>
      </c>
      <c r="J10" s="246">
        <v>80000000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840">
        <v>0</v>
      </c>
      <c r="T10" s="246">
        <f t="shared" si="0"/>
        <v>0</v>
      </c>
    </row>
    <row r="11" spans="1:20" ht="24.95" customHeight="1">
      <c r="A11" s="392"/>
      <c r="B11" s="280" t="s">
        <v>92</v>
      </c>
      <c r="C11" s="246">
        <v>11878000</v>
      </c>
      <c r="D11" s="246">
        <f>2000000+2000000</f>
        <v>4000000</v>
      </c>
      <c r="E11" s="246">
        <v>2000000</v>
      </c>
      <c r="F11" s="246">
        <v>2000000</v>
      </c>
      <c r="G11" s="246">
        <v>1600000</v>
      </c>
      <c r="H11" s="246">
        <v>30000000</v>
      </c>
      <c r="I11" s="246">
        <v>60000000</v>
      </c>
      <c r="J11" s="246">
        <v>50000000</v>
      </c>
      <c r="K11" s="280">
        <f t="shared" ref="K11:P11" si="1">SUM(K5:K10)</f>
        <v>437299200</v>
      </c>
      <c r="L11" s="280">
        <f t="shared" si="1"/>
        <v>646080000</v>
      </c>
      <c r="M11" s="280">
        <f t="shared" si="1"/>
        <v>795902400</v>
      </c>
      <c r="N11" s="280">
        <f t="shared" si="1"/>
        <v>1243886400</v>
      </c>
      <c r="O11" s="280">
        <f t="shared" si="1"/>
        <v>1262510400</v>
      </c>
      <c r="P11" s="280">
        <f t="shared" si="1"/>
        <v>2085116160</v>
      </c>
      <c r="Q11" s="280">
        <f>SUM(Q5:Q10)</f>
        <v>2254618560</v>
      </c>
      <c r="R11" s="280">
        <f>SUM(R5:R10)</f>
        <v>2503007040</v>
      </c>
      <c r="S11" s="851">
        <f>SUM(S5:S10)</f>
        <v>2912374944</v>
      </c>
      <c r="T11" s="246">
        <f t="shared" si="0"/>
        <v>409367904</v>
      </c>
    </row>
    <row r="12" spans="1:20" ht="24.95" customHeight="1">
      <c r="A12" s="476">
        <v>220</v>
      </c>
      <c r="B12" s="280" t="s">
        <v>225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200000000</v>
      </c>
      <c r="I12" s="246">
        <v>200000000</v>
      </c>
      <c r="J12" s="246">
        <v>280000000</v>
      </c>
      <c r="K12" s="246"/>
      <c r="L12" s="246"/>
      <c r="M12" s="246"/>
      <c r="N12" s="246"/>
      <c r="O12" s="246"/>
      <c r="P12" s="246"/>
      <c r="Q12" s="246"/>
      <c r="R12" s="246"/>
      <c r="S12" s="840"/>
      <c r="T12" s="246">
        <f t="shared" si="0"/>
        <v>0</v>
      </c>
    </row>
    <row r="13" spans="1:20" ht="24.95" customHeight="1">
      <c r="A13" s="476">
        <v>2210</v>
      </c>
      <c r="B13" s="280" t="s">
        <v>226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840"/>
      <c r="T13" s="246">
        <f t="shared" si="0"/>
        <v>0</v>
      </c>
    </row>
    <row r="14" spans="1:20" ht="24.95" customHeight="1">
      <c r="A14" s="392">
        <v>22101</v>
      </c>
      <c r="B14" s="246" t="s">
        <v>33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356850000</v>
      </c>
      <c r="I14" s="246">
        <v>0</v>
      </c>
      <c r="J14" s="246">
        <v>84000000</v>
      </c>
      <c r="K14" s="246">
        <v>13406400</v>
      </c>
      <c r="L14" s="246">
        <v>354239920</v>
      </c>
      <c r="M14" s="246">
        <f>354239920*70%-3744000</f>
        <v>244223943.99999997</v>
      </c>
      <c r="N14" s="246">
        <f>354239920*70%-3744000</f>
        <v>244223943.99999997</v>
      </c>
      <c r="O14" s="246">
        <v>294223944</v>
      </c>
      <c r="P14" s="246">
        <v>294223944</v>
      </c>
      <c r="Q14" s="246">
        <v>294223944</v>
      </c>
      <c r="R14" s="246">
        <v>394223944</v>
      </c>
      <c r="S14" s="840">
        <v>500000000</v>
      </c>
      <c r="T14" s="246">
        <f t="shared" si="0"/>
        <v>105776056</v>
      </c>
    </row>
    <row r="15" spans="1:20" ht="24.95" customHeight="1">
      <c r="A15" s="392">
        <v>22102</v>
      </c>
      <c r="B15" s="246" t="s">
        <v>124</v>
      </c>
      <c r="C15" s="246">
        <v>1500000</v>
      </c>
      <c r="D15" s="246">
        <v>5500000</v>
      </c>
      <c r="E15" s="246">
        <v>500000</v>
      </c>
      <c r="F15" s="246">
        <v>500000</v>
      </c>
      <c r="G15" s="246">
        <v>400000</v>
      </c>
      <c r="H15" s="246">
        <v>12000000</v>
      </c>
      <c r="I15" s="246">
        <v>20000000</v>
      </c>
      <c r="J15" s="246">
        <v>20000000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840">
        <v>0</v>
      </c>
      <c r="T15" s="246">
        <f t="shared" si="0"/>
        <v>0</v>
      </c>
    </row>
    <row r="16" spans="1:20" ht="24.95" customHeight="1">
      <c r="A16" s="392">
        <v>22103</v>
      </c>
      <c r="B16" s="246" t="s">
        <v>125</v>
      </c>
      <c r="C16" s="246"/>
      <c r="D16" s="246"/>
      <c r="E16" s="246"/>
      <c r="F16" s="246"/>
      <c r="G16" s="246"/>
      <c r="H16" s="246"/>
      <c r="I16" s="246"/>
      <c r="J16" s="246"/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840">
        <v>0</v>
      </c>
      <c r="T16" s="246">
        <f t="shared" si="0"/>
        <v>0</v>
      </c>
    </row>
    <row r="17" spans="1:20" ht="24.95" customHeight="1">
      <c r="A17" s="392">
        <v>22104</v>
      </c>
      <c r="B17" s="246" t="s">
        <v>157</v>
      </c>
      <c r="C17" s="246"/>
      <c r="D17" s="246"/>
      <c r="E17" s="246"/>
      <c r="F17" s="246"/>
      <c r="G17" s="246"/>
      <c r="H17" s="246"/>
      <c r="I17" s="246"/>
      <c r="J17" s="246"/>
      <c r="K17" s="246">
        <v>16000000</v>
      </c>
      <c r="L17" s="246">
        <v>43292000</v>
      </c>
      <c r="M17" s="246">
        <f t="shared" ref="M17:S17" si="2">43292000*70%</f>
        <v>30304399.999999996</v>
      </c>
      <c r="N17" s="246">
        <f t="shared" si="2"/>
        <v>30304399.999999996</v>
      </c>
      <c r="O17" s="246">
        <f t="shared" si="2"/>
        <v>30304399.999999996</v>
      </c>
      <c r="P17" s="246">
        <f t="shared" si="2"/>
        <v>30304399.999999996</v>
      </c>
      <c r="Q17" s="246">
        <f t="shared" si="2"/>
        <v>30304399.999999996</v>
      </c>
      <c r="R17" s="246">
        <f t="shared" si="2"/>
        <v>30304399.999999996</v>
      </c>
      <c r="S17" s="840">
        <f t="shared" si="2"/>
        <v>30304399.999999996</v>
      </c>
      <c r="T17" s="246">
        <f t="shared" si="0"/>
        <v>0</v>
      </c>
    </row>
    <row r="18" spans="1:20" s="506" customFormat="1" ht="24.95" customHeight="1">
      <c r="A18" s="392">
        <v>22105</v>
      </c>
      <c r="B18" s="246" t="s">
        <v>135</v>
      </c>
      <c r="C18" s="246"/>
      <c r="D18" s="246"/>
      <c r="E18" s="246"/>
      <c r="F18" s="246"/>
      <c r="G18" s="246"/>
      <c r="H18" s="246"/>
      <c r="I18" s="246"/>
      <c r="J18" s="246"/>
      <c r="K18" s="246">
        <v>0</v>
      </c>
      <c r="L18" s="246"/>
      <c r="M18" s="246">
        <v>0</v>
      </c>
      <c r="N18" s="246">
        <v>0</v>
      </c>
      <c r="O18" s="246">
        <v>0</v>
      </c>
      <c r="P18" s="246">
        <v>50400000</v>
      </c>
      <c r="Q18" s="246">
        <v>0</v>
      </c>
      <c r="R18" s="246">
        <v>0</v>
      </c>
      <c r="S18" s="840">
        <v>0</v>
      </c>
      <c r="T18" s="246">
        <f t="shared" si="0"/>
        <v>0</v>
      </c>
    </row>
    <row r="19" spans="1:20" ht="24.95" customHeight="1">
      <c r="A19" s="392">
        <v>22106</v>
      </c>
      <c r="B19" s="246" t="s">
        <v>126</v>
      </c>
      <c r="C19" s="246">
        <v>2500000</v>
      </c>
      <c r="D19" s="246">
        <v>2000000</v>
      </c>
      <c r="E19" s="246">
        <v>2000000</v>
      </c>
      <c r="F19" s="246">
        <v>2000000</v>
      </c>
      <c r="G19" s="246">
        <v>1600000</v>
      </c>
      <c r="H19" s="246">
        <v>41000000</v>
      </c>
      <c r="I19" s="246">
        <v>41000000</v>
      </c>
      <c r="J19" s="246">
        <v>31000000</v>
      </c>
      <c r="K19" s="246">
        <v>71417600</v>
      </c>
      <c r="L19" s="246">
        <v>11820400</v>
      </c>
      <c r="M19" s="246">
        <f>11820400*70%</f>
        <v>8274279.9999999991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840">
        <v>0</v>
      </c>
      <c r="T19" s="246">
        <f t="shared" si="0"/>
        <v>0</v>
      </c>
    </row>
    <row r="20" spans="1:20" ht="24.95" customHeight="1">
      <c r="A20" s="392">
        <v>22107</v>
      </c>
      <c r="B20" s="246" t="s">
        <v>48</v>
      </c>
      <c r="C20" s="246">
        <f t="shared" ref="C20:J20" si="3">SUM(C14:C19)</f>
        <v>4000000</v>
      </c>
      <c r="D20" s="246">
        <f t="shared" si="3"/>
        <v>7500000</v>
      </c>
      <c r="E20" s="246">
        <f t="shared" si="3"/>
        <v>2500000</v>
      </c>
      <c r="F20" s="246">
        <f t="shared" si="3"/>
        <v>2500000</v>
      </c>
      <c r="G20" s="246">
        <f t="shared" si="3"/>
        <v>2000000</v>
      </c>
      <c r="H20" s="246">
        <f t="shared" si="3"/>
        <v>409850000</v>
      </c>
      <c r="I20" s="280">
        <f t="shared" si="3"/>
        <v>61000000</v>
      </c>
      <c r="J20" s="280">
        <f t="shared" si="3"/>
        <v>135000000</v>
      </c>
      <c r="K20" s="246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851">
        <v>0</v>
      </c>
      <c r="T20" s="246">
        <f t="shared" si="0"/>
        <v>0</v>
      </c>
    </row>
    <row r="21" spans="1:20" ht="24.95" customHeight="1">
      <c r="A21" s="392">
        <v>22108</v>
      </c>
      <c r="B21" s="246" t="s">
        <v>93</v>
      </c>
      <c r="C21" s="246"/>
      <c r="D21" s="246"/>
      <c r="E21" s="246"/>
      <c r="F21" s="246"/>
      <c r="G21" s="246"/>
      <c r="H21" s="246"/>
      <c r="I21" s="246"/>
      <c r="J21" s="246"/>
      <c r="K21" s="280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46">
        <f t="shared" si="0"/>
        <v>0</v>
      </c>
    </row>
    <row r="22" spans="1:20" ht="24.95" customHeight="1">
      <c r="A22" s="392">
        <v>22109</v>
      </c>
      <c r="B22" s="246" t="s">
        <v>136</v>
      </c>
      <c r="C22" s="246">
        <v>23000000</v>
      </c>
      <c r="D22" s="246">
        <v>15000000</v>
      </c>
      <c r="E22" s="246">
        <v>8949700</v>
      </c>
      <c r="F22" s="246">
        <v>8949700</v>
      </c>
      <c r="G22" s="246">
        <v>12000000</v>
      </c>
      <c r="H22" s="246">
        <v>80000000</v>
      </c>
      <c r="I22" s="246">
        <v>80000000</v>
      </c>
      <c r="J22" s="246">
        <v>80000000</v>
      </c>
      <c r="K22" s="246">
        <v>3079200</v>
      </c>
      <c r="L22" s="246">
        <v>16500000</v>
      </c>
      <c r="M22" s="246">
        <f t="shared" ref="M22:S22" si="4">16500000*70%</f>
        <v>11550000</v>
      </c>
      <c r="N22" s="246">
        <f t="shared" si="4"/>
        <v>11550000</v>
      </c>
      <c r="O22" s="246">
        <f t="shared" si="4"/>
        <v>11550000</v>
      </c>
      <c r="P22" s="246">
        <f t="shared" si="4"/>
        <v>11550000</v>
      </c>
      <c r="Q22" s="246">
        <f t="shared" si="4"/>
        <v>11550000</v>
      </c>
      <c r="R22" s="246">
        <f t="shared" si="4"/>
        <v>11550000</v>
      </c>
      <c r="S22" s="840">
        <f t="shared" si="4"/>
        <v>11550000</v>
      </c>
      <c r="T22" s="246">
        <f t="shared" si="0"/>
        <v>0</v>
      </c>
    </row>
    <row r="23" spans="1:20" ht="24.95" customHeight="1">
      <c r="A23" s="392">
        <v>22112</v>
      </c>
      <c r="B23" s="246" t="s">
        <v>35</v>
      </c>
      <c r="C23" s="246">
        <v>10061000</v>
      </c>
      <c r="D23" s="246">
        <v>2000000</v>
      </c>
      <c r="E23" s="246">
        <v>0</v>
      </c>
      <c r="F23" s="246">
        <v>0</v>
      </c>
      <c r="G23" s="246">
        <v>0</v>
      </c>
      <c r="H23" s="246">
        <v>30000000</v>
      </c>
      <c r="I23" s="246">
        <v>40000000</v>
      </c>
      <c r="J23" s="246">
        <v>30000000</v>
      </c>
      <c r="K23" s="246">
        <v>10586000</v>
      </c>
      <c r="L23" s="246">
        <v>21000000</v>
      </c>
      <c r="M23" s="246">
        <f t="shared" ref="M23:Q23" si="5">21000000*70%</f>
        <v>14699999.999999998</v>
      </c>
      <c r="N23" s="246">
        <f t="shared" si="5"/>
        <v>14699999.999999998</v>
      </c>
      <c r="O23" s="246">
        <f t="shared" si="5"/>
        <v>14699999.999999998</v>
      </c>
      <c r="P23" s="246">
        <f t="shared" si="5"/>
        <v>14699999.999999998</v>
      </c>
      <c r="Q23" s="246">
        <f t="shared" si="5"/>
        <v>14699999.999999998</v>
      </c>
      <c r="R23" s="246">
        <v>64700000</v>
      </c>
      <c r="S23" s="840">
        <v>64700000</v>
      </c>
      <c r="T23" s="246">
        <f t="shared" si="0"/>
        <v>0</v>
      </c>
    </row>
    <row r="24" spans="1:20" ht="24.95" customHeight="1">
      <c r="A24" s="392">
        <v>22113</v>
      </c>
      <c r="B24" s="246" t="s">
        <v>262</v>
      </c>
      <c r="C24" s="246"/>
      <c r="D24" s="246"/>
      <c r="E24" s="246"/>
      <c r="F24" s="246"/>
      <c r="G24" s="246"/>
      <c r="H24" s="246"/>
      <c r="I24" s="246"/>
      <c r="J24" s="246"/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840">
        <v>0</v>
      </c>
      <c r="T24" s="246">
        <f t="shared" si="0"/>
        <v>0</v>
      </c>
    </row>
    <row r="25" spans="1:20" ht="24.95" customHeight="1">
      <c r="A25" s="392">
        <v>22128</v>
      </c>
      <c r="B25" s="246" t="s">
        <v>913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>
        <v>100000000</v>
      </c>
      <c r="Q25" s="246">
        <v>100000000</v>
      </c>
      <c r="R25" s="246">
        <v>300000000</v>
      </c>
      <c r="S25" s="840">
        <v>500000000</v>
      </c>
      <c r="T25" s="246">
        <f t="shared" si="0"/>
        <v>200000000</v>
      </c>
    </row>
    <row r="26" spans="1:20" ht="24.95" customHeight="1">
      <c r="A26" s="392">
        <v>22132</v>
      </c>
      <c r="B26" s="246" t="s">
        <v>187</v>
      </c>
      <c r="C26" s="246">
        <v>3000000</v>
      </c>
      <c r="D26" s="246">
        <v>1500000</v>
      </c>
      <c r="E26" s="246">
        <v>0</v>
      </c>
      <c r="F26" s="246">
        <v>0</v>
      </c>
      <c r="G26" s="246">
        <v>0</v>
      </c>
      <c r="H26" s="246">
        <v>15000000</v>
      </c>
      <c r="I26" s="246">
        <v>20000000</v>
      </c>
      <c r="J26" s="246">
        <v>20000000</v>
      </c>
      <c r="K26" s="246">
        <v>120000000</v>
      </c>
      <c r="L26" s="246">
        <v>53267680</v>
      </c>
      <c r="M26" s="246">
        <f>53267680*70%</f>
        <v>37287376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840">
        <v>0</v>
      </c>
      <c r="T26" s="246">
        <f t="shared" si="0"/>
        <v>0</v>
      </c>
    </row>
    <row r="27" spans="1:20" ht="24.95" customHeight="1">
      <c r="A27" s="392"/>
      <c r="B27" s="280" t="s">
        <v>92</v>
      </c>
      <c r="C27" s="246">
        <v>0</v>
      </c>
      <c r="D27" s="246">
        <v>0</v>
      </c>
      <c r="E27" s="246">
        <v>0</v>
      </c>
      <c r="F27" s="246">
        <v>0</v>
      </c>
      <c r="G27" s="246">
        <v>16000000</v>
      </c>
      <c r="H27" s="246">
        <v>360113000</v>
      </c>
      <c r="I27" s="246">
        <v>208212162</v>
      </c>
      <c r="J27" s="246">
        <v>330000000</v>
      </c>
      <c r="K27" s="280">
        <f t="shared" ref="K27:Q27" si="6">SUM(K14:K26)</f>
        <v>234489200</v>
      </c>
      <c r="L27" s="280">
        <f t="shared" si="6"/>
        <v>500120000</v>
      </c>
      <c r="M27" s="280">
        <f t="shared" si="6"/>
        <v>346339999.99999994</v>
      </c>
      <c r="N27" s="280">
        <f t="shared" si="6"/>
        <v>300778343.99999994</v>
      </c>
      <c r="O27" s="280">
        <f t="shared" si="6"/>
        <v>350778344</v>
      </c>
      <c r="P27" s="280">
        <f t="shared" si="6"/>
        <v>501178344</v>
      </c>
      <c r="Q27" s="280">
        <f t="shared" si="6"/>
        <v>450778344</v>
      </c>
      <c r="R27" s="280">
        <f>SUM(R14:R26)</f>
        <v>800778344</v>
      </c>
      <c r="S27" s="851">
        <f>SUM(S14:S26)</f>
        <v>1106554400</v>
      </c>
      <c r="T27" s="246">
        <f t="shared" si="0"/>
        <v>305776056</v>
      </c>
    </row>
    <row r="28" spans="1:20" ht="24.95" customHeight="1">
      <c r="A28" s="476">
        <v>2220</v>
      </c>
      <c r="B28" s="280" t="s">
        <v>240</v>
      </c>
      <c r="C28" s="246"/>
      <c r="D28" s="246"/>
      <c r="E28" s="246"/>
      <c r="F28" s="246"/>
      <c r="G28" s="246"/>
      <c r="H28" s="246"/>
      <c r="I28" s="246">
        <v>0</v>
      </c>
      <c r="J28" s="246">
        <v>35000000</v>
      </c>
      <c r="K28" s="280"/>
      <c r="L28" s="246"/>
      <c r="M28" s="246"/>
      <c r="N28" s="246"/>
      <c r="O28" s="246"/>
      <c r="P28" s="246"/>
      <c r="Q28" s="246"/>
      <c r="R28" s="246"/>
      <c r="S28" s="840"/>
      <c r="T28" s="246">
        <f t="shared" si="0"/>
        <v>0</v>
      </c>
    </row>
    <row r="29" spans="1:20" ht="24.95" customHeight="1">
      <c r="A29" s="392">
        <v>22201</v>
      </c>
      <c r="B29" s="246" t="s">
        <v>132</v>
      </c>
      <c r="C29" s="280" t="e">
        <f>#REF!+#REF!+#REF!+#REF!+#REF!</f>
        <v>#REF!</v>
      </c>
      <c r="D29" s="280" t="e">
        <f>#REF!+#REF!+#REF!+#REF!+#REF!</f>
        <v>#REF!</v>
      </c>
      <c r="E29" s="280" t="e">
        <f>#REF!+#REF!+#REF!+#REF!+#REF!</f>
        <v>#REF!</v>
      </c>
      <c r="F29" s="280" t="e">
        <f>#REF!+#REF!+#REF!+#REF!+#REF!</f>
        <v>#REF!</v>
      </c>
      <c r="G29" s="280" t="e">
        <f>#REF!+#REF!+#REF!+#REF!+#REF!</f>
        <v>#REF!</v>
      </c>
      <c r="H29" s="280" t="e">
        <f>#REF!+#REF!+#REF!+#REF!+#REF!</f>
        <v>#REF!</v>
      </c>
      <c r="I29" s="280" t="e">
        <f>#REF!+#REF!+#REF!+#REF!+#REF!</f>
        <v>#REF!</v>
      </c>
      <c r="J29" s="280" t="e">
        <f>#REF!+#REF!+#REF!+#REF!+#REF!</f>
        <v>#REF!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840">
        <v>0</v>
      </c>
      <c r="T29" s="246">
        <f t="shared" si="0"/>
        <v>0</v>
      </c>
    </row>
    <row r="30" spans="1:20" s="506" customFormat="1" ht="24.95" customHeight="1">
      <c r="A30" s="392">
        <v>22202</v>
      </c>
      <c r="B30" s="246" t="s">
        <v>133</v>
      </c>
      <c r="C30" s="292"/>
      <c r="D30" s="292"/>
      <c r="E30" s="292"/>
      <c r="F30" s="274">
        <v>0</v>
      </c>
      <c r="G30" s="274" t="s">
        <v>4</v>
      </c>
      <c r="H30" s="274"/>
      <c r="I30" s="274"/>
      <c r="J30" s="274"/>
      <c r="K30" s="246">
        <v>69000000</v>
      </c>
      <c r="L30" s="246">
        <v>336960000</v>
      </c>
      <c r="M30" s="246">
        <f>336960000*70%</f>
        <v>235871999.99999997</v>
      </c>
      <c r="N30" s="246">
        <f>M30*80%</f>
        <v>188697600</v>
      </c>
      <c r="O30" s="246">
        <v>188697600</v>
      </c>
      <c r="P30" s="246">
        <v>188697600</v>
      </c>
      <c r="Q30" s="246">
        <v>188697600</v>
      </c>
      <c r="R30" s="246">
        <v>188697600</v>
      </c>
      <c r="S30" s="840">
        <v>238000000</v>
      </c>
      <c r="T30" s="246">
        <f t="shared" si="0"/>
        <v>49302400</v>
      </c>
    </row>
    <row r="31" spans="1:20" s="506" customFormat="1" ht="24.95" customHeight="1">
      <c r="A31" s="392">
        <v>22203</v>
      </c>
      <c r="B31" s="246" t="s">
        <v>127</v>
      </c>
      <c r="C31" s="292"/>
      <c r="D31" s="292"/>
      <c r="E31" s="292"/>
      <c r="F31" s="274"/>
      <c r="G31" s="274"/>
      <c r="H31" s="274"/>
      <c r="I31" s="274"/>
      <c r="J31" s="274"/>
      <c r="K31" s="246">
        <v>14151200</v>
      </c>
      <c r="L31" s="246">
        <v>50516000</v>
      </c>
      <c r="M31" s="246">
        <f t="shared" ref="M31:Q31" si="7">50516000*70%</f>
        <v>35361200</v>
      </c>
      <c r="N31" s="246">
        <f t="shared" si="7"/>
        <v>35361200</v>
      </c>
      <c r="O31" s="246">
        <f t="shared" si="7"/>
        <v>35361200</v>
      </c>
      <c r="P31" s="246">
        <f t="shared" si="7"/>
        <v>35361200</v>
      </c>
      <c r="Q31" s="246">
        <f t="shared" si="7"/>
        <v>35361200</v>
      </c>
      <c r="R31" s="246">
        <v>65361200</v>
      </c>
      <c r="S31" s="840">
        <v>65361200</v>
      </c>
      <c r="T31" s="246">
        <f t="shared" si="0"/>
        <v>0</v>
      </c>
    </row>
    <row r="32" spans="1:20" ht="24.95" customHeight="1">
      <c r="A32" s="392">
        <v>22204</v>
      </c>
      <c r="B32" s="246" t="s">
        <v>128</v>
      </c>
      <c r="C32" s="246"/>
      <c r="D32" s="246"/>
      <c r="E32" s="246"/>
      <c r="F32" s="246"/>
      <c r="G32" s="246"/>
      <c r="H32" s="246"/>
      <c r="I32" s="246"/>
      <c r="J32" s="246"/>
      <c r="K32" s="274">
        <v>1489600</v>
      </c>
      <c r="L32" s="246">
        <v>22661600</v>
      </c>
      <c r="M32" s="246">
        <f t="shared" ref="M32:S32" si="8">22661600*70%</f>
        <v>15863119.999999998</v>
      </c>
      <c r="N32" s="246">
        <f t="shared" si="8"/>
        <v>15863119.999999998</v>
      </c>
      <c r="O32" s="246">
        <f t="shared" si="8"/>
        <v>15863119.999999998</v>
      </c>
      <c r="P32" s="246">
        <f t="shared" si="8"/>
        <v>15863119.999999998</v>
      </c>
      <c r="Q32" s="246">
        <f t="shared" si="8"/>
        <v>15863119.999999998</v>
      </c>
      <c r="R32" s="246">
        <f t="shared" si="8"/>
        <v>15863119.999999998</v>
      </c>
      <c r="S32" s="840">
        <f t="shared" si="8"/>
        <v>15863119.999999998</v>
      </c>
      <c r="T32" s="246">
        <f t="shared" si="0"/>
        <v>0</v>
      </c>
    </row>
    <row r="33" spans="1:20" ht="24.95" customHeight="1">
      <c r="A33" s="392">
        <v>22205</v>
      </c>
      <c r="B33" s="246" t="s">
        <v>134</v>
      </c>
      <c r="C33" s="246">
        <v>4000000</v>
      </c>
      <c r="D33" s="246">
        <v>2000000</v>
      </c>
      <c r="E33" s="246">
        <v>0</v>
      </c>
      <c r="F33" s="246">
        <v>0</v>
      </c>
      <c r="G33" s="246">
        <v>0</v>
      </c>
      <c r="H33" s="246">
        <v>200000000</v>
      </c>
      <c r="I33" s="246">
        <v>200000000</v>
      </c>
      <c r="J33" s="246">
        <v>200000000</v>
      </c>
      <c r="K33" s="279"/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0</v>
      </c>
      <c r="S33" s="840">
        <v>0</v>
      </c>
      <c r="T33" s="246">
        <f t="shared" si="0"/>
        <v>0</v>
      </c>
    </row>
    <row r="34" spans="1:20" ht="24.95" customHeight="1">
      <c r="A34" s="392"/>
      <c r="B34" s="280" t="s">
        <v>92</v>
      </c>
      <c r="C34" s="246">
        <v>10089000</v>
      </c>
      <c r="D34" s="246">
        <v>10004000</v>
      </c>
      <c r="E34" s="246">
        <v>20004000</v>
      </c>
      <c r="F34" s="246">
        <v>20004000</v>
      </c>
      <c r="G34" s="246">
        <v>40003200</v>
      </c>
      <c r="H34" s="246">
        <v>100000000</v>
      </c>
      <c r="I34" s="246">
        <v>100000000</v>
      </c>
      <c r="J34" s="246">
        <v>100000000</v>
      </c>
      <c r="K34" s="280">
        <f t="shared" ref="K34:Q34" si="9">SUM(K29:K33)</f>
        <v>84640800</v>
      </c>
      <c r="L34" s="280">
        <f t="shared" si="9"/>
        <v>410137600</v>
      </c>
      <c r="M34" s="280">
        <f t="shared" si="9"/>
        <v>287096320</v>
      </c>
      <c r="N34" s="280">
        <f t="shared" si="9"/>
        <v>239921920</v>
      </c>
      <c r="O34" s="280">
        <f t="shared" si="9"/>
        <v>239921920</v>
      </c>
      <c r="P34" s="280">
        <f t="shared" si="9"/>
        <v>239921920</v>
      </c>
      <c r="Q34" s="280">
        <f t="shared" si="9"/>
        <v>239921920</v>
      </c>
      <c r="R34" s="280">
        <f>SUM(R29:R33)</f>
        <v>269921920</v>
      </c>
      <c r="S34" s="851">
        <f>SUM(S29:S33)</f>
        <v>319224320</v>
      </c>
      <c r="T34" s="246">
        <f t="shared" si="0"/>
        <v>49302400</v>
      </c>
    </row>
    <row r="35" spans="1:20" ht="24.95" customHeight="1">
      <c r="A35" s="476">
        <v>2230</v>
      </c>
      <c r="B35" s="280" t="s">
        <v>130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616200000</v>
      </c>
      <c r="I35" s="246">
        <v>616200000</v>
      </c>
      <c r="J35" s="246">
        <v>616200000</v>
      </c>
      <c r="K35" s="246"/>
      <c r="L35" s="246"/>
      <c r="M35" s="246"/>
      <c r="N35" s="246"/>
      <c r="O35" s="246"/>
      <c r="P35" s="246"/>
      <c r="Q35" s="246"/>
      <c r="R35" s="246"/>
      <c r="S35" s="840"/>
      <c r="T35" s="246">
        <f t="shared" si="0"/>
        <v>0</v>
      </c>
    </row>
    <row r="36" spans="1:20" ht="24.95" customHeight="1">
      <c r="A36" s="392">
        <v>22301</v>
      </c>
      <c r="B36" s="246" t="s">
        <v>49</v>
      </c>
      <c r="C36" s="246">
        <v>13333000</v>
      </c>
      <c r="D36" s="246">
        <v>5000000</v>
      </c>
      <c r="E36" s="246">
        <v>0</v>
      </c>
      <c r="F36" s="246">
        <v>0</v>
      </c>
      <c r="G36" s="246">
        <v>0</v>
      </c>
      <c r="H36" s="246">
        <v>100000000</v>
      </c>
      <c r="I36" s="246">
        <v>70000000</v>
      </c>
      <c r="J36" s="246">
        <v>70000000</v>
      </c>
      <c r="K36" s="246">
        <v>4000000</v>
      </c>
      <c r="L36" s="246">
        <v>65115200</v>
      </c>
      <c r="M36" s="246">
        <f t="shared" ref="M36:Q36" si="10">65115200*70%</f>
        <v>45580640</v>
      </c>
      <c r="N36" s="246">
        <f t="shared" si="10"/>
        <v>45580640</v>
      </c>
      <c r="O36" s="246">
        <f t="shared" si="10"/>
        <v>45580640</v>
      </c>
      <c r="P36" s="246">
        <f t="shared" si="10"/>
        <v>45580640</v>
      </c>
      <c r="Q36" s="246">
        <f t="shared" si="10"/>
        <v>45580640</v>
      </c>
      <c r="R36" s="246">
        <v>85580640</v>
      </c>
      <c r="S36" s="840">
        <v>115000000</v>
      </c>
      <c r="T36" s="246">
        <f t="shared" si="0"/>
        <v>29419360</v>
      </c>
    </row>
    <row r="37" spans="1:20" ht="24.95" customHeight="1">
      <c r="A37" s="392">
        <v>22302</v>
      </c>
      <c r="B37" s="246" t="s">
        <v>249</v>
      </c>
      <c r="C37" s="246">
        <v>0</v>
      </c>
      <c r="D37" s="246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1558122</v>
      </c>
      <c r="L37" s="246">
        <v>1489600</v>
      </c>
      <c r="M37" s="246">
        <f t="shared" ref="M37:S37" si="11">1489600*70%</f>
        <v>1042719.9999999999</v>
      </c>
      <c r="N37" s="246">
        <f t="shared" si="11"/>
        <v>1042719.9999999999</v>
      </c>
      <c r="O37" s="246">
        <f t="shared" si="11"/>
        <v>1042719.9999999999</v>
      </c>
      <c r="P37" s="246">
        <f t="shared" si="11"/>
        <v>1042719.9999999999</v>
      </c>
      <c r="Q37" s="246">
        <f t="shared" si="11"/>
        <v>1042719.9999999999</v>
      </c>
      <c r="R37" s="246">
        <f t="shared" si="11"/>
        <v>1042719.9999999999</v>
      </c>
      <c r="S37" s="840">
        <f t="shared" si="11"/>
        <v>1042719.9999999999</v>
      </c>
      <c r="T37" s="246">
        <f t="shared" si="0"/>
        <v>0</v>
      </c>
    </row>
    <row r="38" spans="1:20" ht="24.95" customHeight="1">
      <c r="A38" s="392">
        <v>22313</v>
      </c>
      <c r="B38" s="246" t="s">
        <v>251</v>
      </c>
      <c r="C38" s="280">
        <f t="shared" ref="C38:J38" si="12">SUM(C36:C37)</f>
        <v>13333000</v>
      </c>
      <c r="D38" s="280">
        <f t="shared" si="12"/>
        <v>5000000</v>
      </c>
      <c r="E38" s="280">
        <f t="shared" si="12"/>
        <v>0</v>
      </c>
      <c r="F38" s="280">
        <f t="shared" si="12"/>
        <v>0</v>
      </c>
      <c r="G38" s="280">
        <f t="shared" si="12"/>
        <v>0</v>
      </c>
      <c r="H38" s="280">
        <f t="shared" si="12"/>
        <v>100000000</v>
      </c>
      <c r="I38" s="280">
        <f t="shared" si="12"/>
        <v>70000000</v>
      </c>
      <c r="J38" s="280">
        <f t="shared" si="12"/>
        <v>70000000</v>
      </c>
      <c r="K38" s="246"/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840">
        <v>0</v>
      </c>
      <c r="T38" s="246">
        <f t="shared" si="0"/>
        <v>0</v>
      </c>
    </row>
    <row r="39" spans="1:20" ht="24.95" customHeight="1">
      <c r="A39" s="392"/>
      <c r="B39" s="280" t="s">
        <v>92</v>
      </c>
      <c r="C39" s="280" t="e">
        <f>C38+#REF!+C32+C20+#REF!</f>
        <v>#REF!</v>
      </c>
      <c r="D39" s="280" t="e">
        <f>D38+#REF!+D32+D20+#REF!</f>
        <v>#REF!</v>
      </c>
      <c r="E39" s="280" t="e">
        <f>E38+#REF!+E32+E20+#REF!</f>
        <v>#REF!</v>
      </c>
      <c r="F39" s="280" t="e">
        <f>F38+#REF!+F32+F20+#REF!</f>
        <v>#REF!</v>
      </c>
      <c r="G39" s="280" t="e">
        <f>G38+#REF!+G20+G32+#REF!</f>
        <v>#REF!</v>
      </c>
      <c r="H39" s="280" t="e">
        <f>H38+#REF!+H32+H20+#REF!</f>
        <v>#REF!</v>
      </c>
      <c r="I39" s="280" t="e">
        <f>I38+#REF!+I32+I20+#REF!</f>
        <v>#REF!</v>
      </c>
      <c r="J39" s="280" t="e">
        <f>SUM(#REF!+J20+J32+J38)</f>
        <v>#REF!</v>
      </c>
      <c r="K39" s="280">
        <f t="shared" ref="K39:P39" si="13">SUM(K36:K38)</f>
        <v>5558122</v>
      </c>
      <c r="L39" s="280">
        <f t="shared" si="13"/>
        <v>66604800</v>
      </c>
      <c r="M39" s="280">
        <f t="shared" si="13"/>
        <v>46623360</v>
      </c>
      <c r="N39" s="280">
        <f t="shared" si="13"/>
        <v>46623360</v>
      </c>
      <c r="O39" s="280">
        <f t="shared" si="13"/>
        <v>46623360</v>
      </c>
      <c r="P39" s="280">
        <f t="shared" si="13"/>
        <v>46623360</v>
      </c>
      <c r="Q39" s="280">
        <f>SUM(Q36:Q38)</f>
        <v>46623360</v>
      </c>
      <c r="R39" s="280">
        <f>SUM(R36:R38)</f>
        <v>86623360</v>
      </c>
      <c r="S39" s="851">
        <f>SUM(S36:S38)</f>
        <v>116042720</v>
      </c>
      <c r="T39" s="246">
        <f t="shared" si="0"/>
        <v>29419360</v>
      </c>
    </row>
    <row r="40" spans="1:20" ht="24.95" customHeight="1">
      <c r="A40" s="476">
        <v>270</v>
      </c>
      <c r="B40" s="280" t="s">
        <v>253</v>
      </c>
      <c r="C40" s="246"/>
      <c r="D40" s="246"/>
      <c r="E40" s="246"/>
      <c r="F40" s="246"/>
      <c r="G40" s="246"/>
      <c r="H40" s="246"/>
      <c r="I40" s="246"/>
      <c r="J40" s="246"/>
      <c r="K40" s="280"/>
      <c r="L40" s="246"/>
      <c r="M40" s="246"/>
      <c r="N40" s="246"/>
      <c r="O40" s="246"/>
      <c r="P40" s="246"/>
      <c r="Q40" s="246"/>
      <c r="R40" s="246"/>
      <c r="S40" s="840"/>
      <c r="T40" s="246">
        <f t="shared" si="0"/>
        <v>0</v>
      </c>
    </row>
    <row r="41" spans="1:20" ht="24.95" customHeight="1">
      <c r="A41" s="476">
        <v>2710</v>
      </c>
      <c r="B41" s="280" t="s">
        <v>252</v>
      </c>
      <c r="C41" s="246"/>
      <c r="D41" s="246"/>
      <c r="E41" s="246"/>
      <c r="F41" s="246"/>
      <c r="G41" s="246"/>
      <c r="H41" s="246"/>
      <c r="I41" s="246"/>
      <c r="J41" s="246"/>
      <c r="K41" s="280"/>
      <c r="L41" s="246"/>
      <c r="M41" s="246"/>
      <c r="N41" s="246"/>
      <c r="O41" s="246"/>
      <c r="P41" s="246"/>
      <c r="Q41" s="246"/>
      <c r="R41" s="246"/>
      <c r="S41" s="840"/>
      <c r="T41" s="246">
        <f t="shared" si="0"/>
        <v>0</v>
      </c>
    </row>
    <row r="42" spans="1:20" ht="24.95" customHeight="1">
      <c r="A42" s="392">
        <v>27601</v>
      </c>
      <c r="B42" s="246" t="s">
        <v>264</v>
      </c>
      <c r="C42" s="246"/>
      <c r="D42" s="246"/>
      <c r="E42" s="246"/>
      <c r="F42" s="246"/>
      <c r="G42" s="246"/>
      <c r="H42" s="246"/>
      <c r="I42" s="246"/>
      <c r="J42" s="246"/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300000000</v>
      </c>
      <c r="R42" s="246">
        <v>0</v>
      </c>
      <c r="S42" s="840">
        <v>0</v>
      </c>
      <c r="T42" s="246">
        <f t="shared" si="0"/>
        <v>0</v>
      </c>
    </row>
    <row r="43" spans="1:20" ht="24.95" customHeight="1">
      <c r="A43" s="476">
        <v>27204</v>
      </c>
      <c r="B43" s="246" t="s">
        <v>1329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>
        <v>0</v>
      </c>
      <c r="S43" s="840">
        <v>150000000</v>
      </c>
      <c r="T43" s="246">
        <f t="shared" si="0"/>
        <v>150000000</v>
      </c>
    </row>
    <row r="44" spans="1:20" ht="24.95" customHeight="1">
      <c r="A44" s="392"/>
      <c r="B44" s="280" t="s">
        <v>92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80">
        <f>SUM(Q42:Q42)</f>
        <v>300000000</v>
      </c>
      <c r="R44" s="280">
        <f>SUM(R42:R42)</f>
        <v>0</v>
      </c>
      <c r="S44" s="851">
        <f>SUM(S43)</f>
        <v>150000000</v>
      </c>
      <c r="T44" s="246">
        <f t="shared" si="0"/>
        <v>150000000</v>
      </c>
    </row>
    <row r="45" spans="1:20" ht="24.95" customHeight="1">
      <c r="A45" s="476">
        <v>2720</v>
      </c>
      <c r="B45" s="280" t="s">
        <v>881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840"/>
      <c r="T45" s="246">
        <f t="shared" si="0"/>
        <v>0</v>
      </c>
    </row>
    <row r="46" spans="1:20" ht="24.95" customHeight="1">
      <c r="A46" s="392">
        <v>27202</v>
      </c>
      <c r="B46" s="246" t="s">
        <v>882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>
        <v>0</v>
      </c>
      <c r="P46" s="246">
        <v>1400000000</v>
      </c>
      <c r="Q46" s="246">
        <v>702000000</v>
      </c>
      <c r="R46" s="246">
        <v>0</v>
      </c>
      <c r="S46" s="840">
        <v>0</v>
      </c>
      <c r="T46" s="246">
        <f t="shared" si="0"/>
        <v>0</v>
      </c>
    </row>
    <row r="47" spans="1:20" ht="24.95" customHeight="1">
      <c r="A47" s="392"/>
      <c r="B47" s="280" t="s">
        <v>92</v>
      </c>
      <c r="C47" s="246"/>
      <c r="D47" s="246"/>
      <c r="E47" s="246"/>
      <c r="F47" s="246"/>
      <c r="G47" s="246"/>
      <c r="H47" s="246"/>
      <c r="I47" s="246"/>
      <c r="J47" s="246"/>
      <c r="K47" s="280">
        <f>SUM(K42:K42)</f>
        <v>0</v>
      </c>
      <c r="L47" s="280">
        <f>SUM(L42:L42)</f>
        <v>0</v>
      </c>
      <c r="M47" s="280">
        <f>SUM(M42:M42)</f>
        <v>0</v>
      </c>
      <c r="N47" s="280">
        <f>SUM(N42:N42)</f>
        <v>0</v>
      </c>
      <c r="O47" s="280">
        <f>SUM(O42:O42)</f>
        <v>0</v>
      </c>
      <c r="P47" s="280">
        <f>SUM(P46)</f>
        <v>1400000000</v>
      </c>
      <c r="Q47" s="280">
        <f>SUM(Q46)</f>
        <v>702000000</v>
      </c>
      <c r="R47" s="280">
        <f>SUM(R46)</f>
        <v>0</v>
      </c>
      <c r="S47" s="851">
        <f>SUM(S46)</f>
        <v>0</v>
      </c>
      <c r="T47" s="246">
        <f t="shared" si="0"/>
        <v>0</v>
      </c>
    </row>
    <row r="48" spans="1:20" ht="24.95" customHeight="1">
      <c r="A48" s="392"/>
      <c r="B48" s="280" t="s">
        <v>37</v>
      </c>
      <c r="C48" s="246"/>
      <c r="D48" s="246"/>
      <c r="E48" s="246"/>
      <c r="F48" s="246"/>
      <c r="G48" s="246"/>
      <c r="H48" s="246"/>
      <c r="I48" s="246"/>
      <c r="J48" s="246"/>
      <c r="K48" s="280">
        <f t="shared" ref="K48:P48" si="14">K11+K27+K34+K39+K47</f>
        <v>761987322</v>
      </c>
      <c r="L48" s="280">
        <f t="shared" si="14"/>
        <v>1622942400</v>
      </c>
      <c r="M48" s="280">
        <f t="shared" si="14"/>
        <v>1475962080</v>
      </c>
      <c r="N48" s="280">
        <f t="shared" si="14"/>
        <v>1831210024</v>
      </c>
      <c r="O48" s="280">
        <f t="shared" si="14"/>
        <v>1899834024</v>
      </c>
      <c r="P48" s="280">
        <f t="shared" si="14"/>
        <v>4272839784</v>
      </c>
      <c r="Q48" s="280">
        <f>Q47+Q44+Q39+Q34+Q27+Q11</f>
        <v>3993942184</v>
      </c>
      <c r="R48" s="280">
        <f>R47+R44+R39+R34+R27+R11</f>
        <v>3660330664</v>
      </c>
      <c r="S48" s="851">
        <f>S47+S44+S39+S34+S27+S11</f>
        <v>4604196384</v>
      </c>
      <c r="T48" s="280">
        <f t="shared" si="0"/>
        <v>943865720</v>
      </c>
    </row>
  </sheetData>
  <phoneticPr fontId="0" type="noConversion"/>
  <printOptions gridLines="1"/>
  <pageMargins left="0.79" right="0.25" top="0.72" bottom="0.3" header="0.24" footer="0.17"/>
  <pageSetup scale="55" orientation="portrait" r:id="rId1"/>
  <headerFooter alignWithMargins="0">
    <oddHeader>&amp;C&amp;"Algerian,Bold"&amp;36Hanti-dhawrka Guud ee Qaranka</oddHeader>
    <oddFooter>&amp;R&amp;"Times New Roman,Bold"&amp;14 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8"/>
  </sheetPr>
  <dimension ref="A1:W59"/>
  <sheetViews>
    <sheetView view="pageBreakPreview" topLeftCell="A40" zoomScale="60" workbookViewId="0">
      <selection activeCell="Q59" sqref="Q59"/>
    </sheetView>
  </sheetViews>
  <sheetFormatPr defaultRowHeight="23.1" customHeight="1"/>
  <cols>
    <col min="1" max="1" width="19.83203125" style="531" bestFit="1" customWidth="1"/>
    <col min="2" max="2" width="94.5" style="532" customWidth="1"/>
    <col min="3" max="3" width="18.6640625" style="532" hidden="1" customWidth="1"/>
    <col min="4" max="4" width="0.83203125" style="532" hidden="1" customWidth="1"/>
    <col min="5" max="5" width="7.83203125" style="532" hidden="1" customWidth="1"/>
    <col min="6" max="6" width="0.1640625" style="532" hidden="1" customWidth="1"/>
    <col min="7" max="7" width="22.6640625" style="532" hidden="1" customWidth="1"/>
    <col min="8" max="8" width="23" style="532" hidden="1" customWidth="1"/>
    <col min="9" max="9" width="0.33203125" style="532" hidden="1" customWidth="1"/>
    <col min="10" max="10" width="24.6640625" style="528" hidden="1" customWidth="1"/>
    <col min="11" max="11" width="29.83203125" style="528" hidden="1" customWidth="1"/>
    <col min="12" max="13" width="0.1640625" style="528" hidden="1" customWidth="1"/>
    <col min="14" max="14" width="29.5" style="528" hidden="1" customWidth="1"/>
    <col min="15" max="15" width="29.83203125" style="528" hidden="1" customWidth="1"/>
    <col min="16" max="16" width="32.6640625" style="528" bestFit="1" customWidth="1"/>
    <col min="17" max="17" width="32.6640625" style="528" customWidth="1"/>
    <col min="18" max="18" width="30.5" style="528" customWidth="1"/>
    <col min="19" max="21" width="9.33203125" style="528"/>
    <col min="22" max="22" width="14.33203125" style="528" bestFit="1" customWidth="1"/>
    <col min="23" max="23" width="20.6640625" style="528" bestFit="1" customWidth="1"/>
    <col min="24" max="16384" width="9.33203125" style="528"/>
  </cols>
  <sheetData>
    <row r="1" spans="1:23" ht="23.1" customHeight="1">
      <c r="A1" s="526" t="s">
        <v>39</v>
      </c>
      <c r="B1" s="477" t="s">
        <v>1314</v>
      </c>
      <c r="C1" s="246"/>
      <c r="D1" s="246"/>
      <c r="E1" s="246"/>
      <c r="F1" s="246"/>
      <c r="G1" s="246"/>
      <c r="H1" s="246"/>
      <c r="I1" s="246"/>
      <c r="J1" s="246"/>
      <c r="K1" s="246"/>
      <c r="L1" s="280"/>
      <c r="M1" s="280"/>
      <c r="N1" s="280"/>
      <c r="O1" s="280"/>
      <c r="P1" s="280"/>
      <c r="Q1" s="280"/>
      <c r="R1" s="527"/>
    </row>
    <row r="2" spans="1:23" s="529" customFormat="1" ht="23.1" customHeight="1">
      <c r="A2" s="476">
        <v>210</v>
      </c>
      <c r="B2" s="280" t="s">
        <v>137</v>
      </c>
      <c r="C2" s="246"/>
      <c r="D2" s="246"/>
      <c r="E2" s="246"/>
      <c r="F2" s="246"/>
      <c r="G2" s="246"/>
      <c r="H2" s="301"/>
      <c r="I2" s="301"/>
      <c r="J2" s="301" t="s">
        <v>151</v>
      </c>
      <c r="K2" s="301" t="s">
        <v>257</v>
      </c>
      <c r="L2" s="280" t="s">
        <v>440</v>
      </c>
      <c r="M2" s="280" t="s">
        <v>806</v>
      </c>
      <c r="N2" s="280" t="s">
        <v>872</v>
      </c>
      <c r="O2" s="280" t="s">
        <v>972</v>
      </c>
      <c r="P2" s="280" t="s">
        <v>1159</v>
      </c>
      <c r="Q2" s="280" t="s">
        <v>1319</v>
      </c>
      <c r="R2" s="286" t="s">
        <v>56</v>
      </c>
    </row>
    <row r="3" spans="1:23" ht="23.1" customHeight="1">
      <c r="A3" s="476">
        <v>2110</v>
      </c>
      <c r="B3" s="280" t="s">
        <v>213</v>
      </c>
      <c r="C3" s="246">
        <v>61545000</v>
      </c>
      <c r="D3" s="246">
        <v>74124000</v>
      </c>
      <c r="E3" s="246">
        <v>64128000</v>
      </c>
      <c r="F3" s="246">
        <v>72660000</v>
      </c>
      <c r="G3" s="246">
        <v>72660000</v>
      </c>
      <c r="H3" s="246">
        <f>72660000+42936000</f>
        <v>115596000</v>
      </c>
      <c r="I3" s="246">
        <f>150274800+4149600+13104000+3198000</f>
        <v>170726400</v>
      </c>
      <c r="J3" s="246"/>
      <c r="K3" s="246"/>
      <c r="L3" s="246"/>
      <c r="M3" s="246"/>
      <c r="N3" s="246"/>
      <c r="O3" s="246"/>
      <c r="P3" s="246"/>
      <c r="Q3" s="246"/>
      <c r="R3" s="497"/>
    </row>
    <row r="4" spans="1:23" ht="23.1" customHeight="1">
      <c r="A4" s="392">
        <v>21101</v>
      </c>
      <c r="B4" s="246" t="s">
        <v>371</v>
      </c>
      <c r="C4" s="246">
        <v>1180900</v>
      </c>
      <c r="D4" s="246"/>
      <c r="E4" s="246">
        <v>0</v>
      </c>
      <c r="F4" s="246">
        <v>0</v>
      </c>
      <c r="G4" s="246">
        <v>0</v>
      </c>
      <c r="H4" s="246">
        <v>0</v>
      </c>
      <c r="I4" s="246">
        <v>0</v>
      </c>
      <c r="J4" s="246">
        <v>305572400</v>
      </c>
      <c r="K4" s="246">
        <f>539449200+174686000+80800</f>
        <v>714216000</v>
      </c>
      <c r="L4" s="246">
        <v>636043200</v>
      </c>
      <c r="M4" s="246">
        <v>733075200</v>
      </c>
      <c r="N4" s="246">
        <v>1074752640</v>
      </c>
      <c r="O4" s="246">
        <v>1115075520</v>
      </c>
      <c r="P4" s="246">
        <v>1196020800</v>
      </c>
      <c r="Q4" s="246">
        <v>2703647232</v>
      </c>
      <c r="R4" s="246">
        <f>Q4-P4</f>
        <v>1507626432</v>
      </c>
      <c r="W4" s="753"/>
    </row>
    <row r="5" spans="1:23" ht="23.1" customHeight="1">
      <c r="A5" s="392">
        <v>21102</v>
      </c>
      <c r="B5" s="246" t="s">
        <v>370</v>
      </c>
      <c r="C5" s="246">
        <v>1123486000</v>
      </c>
      <c r="D5" s="246">
        <v>1227036000</v>
      </c>
      <c r="E5" s="246">
        <v>1192428000</v>
      </c>
      <c r="F5" s="246">
        <f>1935276000+1200000</f>
        <v>1936476000</v>
      </c>
      <c r="G5" s="246">
        <f>1936476000+600000000</f>
        <v>2536476000</v>
      </c>
      <c r="H5" s="246">
        <f>2529276000+54000000</f>
        <v>2583276000</v>
      </c>
      <c r="I5" s="246">
        <f>2530476000+4800000</f>
        <v>2535276000</v>
      </c>
      <c r="J5" s="246">
        <v>0</v>
      </c>
      <c r="K5" s="246">
        <v>61320000</v>
      </c>
      <c r="L5" s="246">
        <v>194520000</v>
      </c>
      <c r="M5" s="246">
        <v>158520000</v>
      </c>
      <c r="N5" s="246">
        <v>352920000</v>
      </c>
      <c r="O5" s="246">
        <v>376920000</v>
      </c>
      <c r="P5" s="246">
        <v>376920000</v>
      </c>
      <c r="Q5" s="246">
        <v>474120000</v>
      </c>
      <c r="R5" s="246">
        <f t="shared" ref="R5:R59" si="0">Q5-P5</f>
        <v>97200000</v>
      </c>
    </row>
    <row r="6" spans="1:23" ht="23.1" customHeight="1">
      <c r="A6" s="392">
        <v>21103</v>
      </c>
      <c r="B6" s="246" t="s">
        <v>809</v>
      </c>
      <c r="C6" s="246"/>
      <c r="D6" s="246"/>
      <c r="E6" s="246"/>
      <c r="F6" s="246"/>
      <c r="G6" s="246"/>
      <c r="H6" s="246"/>
      <c r="I6" s="246"/>
      <c r="J6" s="246">
        <v>338400000</v>
      </c>
      <c r="K6" s="246">
        <v>828000000</v>
      </c>
      <c r="L6" s="246">
        <v>644400000</v>
      </c>
      <c r="M6" s="246">
        <v>766800000</v>
      </c>
      <c r="N6" s="246">
        <v>1428000000</v>
      </c>
      <c r="O6" s="246">
        <v>1578000000</v>
      </c>
      <c r="P6" s="246">
        <v>1578000000</v>
      </c>
      <c r="Q6" s="246">
        <v>1950000000</v>
      </c>
      <c r="R6" s="246">
        <f t="shared" si="0"/>
        <v>372000000</v>
      </c>
      <c r="W6" s="754"/>
    </row>
    <row r="7" spans="1:23" ht="23.1" customHeight="1">
      <c r="A7" s="392">
        <v>21105</v>
      </c>
      <c r="B7" s="246" t="s">
        <v>526</v>
      </c>
      <c r="C7" s="246">
        <v>2500000</v>
      </c>
      <c r="D7" s="246">
        <v>2000000</v>
      </c>
      <c r="E7" s="246">
        <v>2000000</v>
      </c>
      <c r="F7" s="246">
        <v>2000000</v>
      </c>
      <c r="G7" s="246">
        <v>1600000</v>
      </c>
      <c r="H7" s="246">
        <v>41000000</v>
      </c>
      <c r="I7" s="246">
        <v>41000000</v>
      </c>
      <c r="J7" s="246">
        <v>0</v>
      </c>
      <c r="K7" s="246">
        <v>827864000</v>
      </c>
      <c r="L7" s="246">
        <f>K7</f>
        <v>827864000</v>
      </c>
      <c r="M7" s="246">
        <f>L7</f>
        <v>827864000</v>
      </c>
      <c r="N7" s="246">
        <v>967864000</v>
      </c>
      <c r="O7" s="246">
        <v>1161436800</v>
      </c>
      <c r="P7" s="246">
        <v>1451796000</v>
      </c>
      <c r="Q7" s="840">
        <v>2903592000</v>
      </c>
      <c r="R7" s="246">
        <f t="shared" si="0"/>
        <v>1451796000</v>
      </c>
      <c r="W7" s="552"/>
    </row>
    <row r="8" spans="1:23" s="530" customFormat="1" ht="23.1" customHeight="1">
      <c r="A8" s="476"/>
      <c r="B8" s="280" t="s">
        <v>92</v>
      </c>
      <c r="C8" s="280"/>
      <c r="D8" s="280"/>
      <c r="E8" s="280"/>
      <c r="F8" s="280"/>
      <c r="G8" s="280"/>
      <c r="H8" s="280"/>
      <c r="I8" s="280"/>
      <c r="J8" s="280"/>
      <c r="K8" s="280"/>
      <c r="L8" s="280">
        <v>0</v>
      </c>
      <c r="M8" s="280"/>
      <c r="N8" s="280"/>
      <c r="O8" s="280">
        <f>SUM(O4:O7)</f>
        <v>4231432320</v>
      </c>
      <c r="P8" s="280">
        <f>SUM(P4:P7)</f>
        <v>4602736800</v>
      </c>
      <c r="Q8" s="851">
        <f>SUM(Q4:Q7)</f>
        <v>8031359232</v>
      </c>
      <c r="R8" s="280">
        <f t="shared" si="0"/>
        <v>3428622432</v>
      </c>
      <c r="W8" s="615"/>
    </row>
    <row r="9" spans="1:23" s="530" customFormat="1" ht="23.1" customHeight="1">
      <c r="A9" s="476">
        <v>2120</v>
      </c>
      <c r="B9" s="280" t="s">
        <v>218</v>
      </c>
      <c r="C9" s="246"/>
      <c r="D9" s="246"/>
      <c r="E9" s="246"/>
      <c r="F9" s="246"/>
      <c r="G9" s="246"/>
      <c r="H9" s="246"/>
      <c r="I9" s="246"/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/>
      <c r="P9" s="246"/>
      <c r="Q9" s="840"/>
      <c r="R9" s="246">
        <f t="shared" si="0"/>
        <v>0</v>
      </c>
    </row>
    <row r="10" spans="1:23" ht="23.1" customHeight="1">
      <c r="A10" s="392">
        <v>21201</v>
      </c>
      <c r="B10" s="246" t="s">
        <v>369</v>
      </c>
      <c r="C10" s="246">
        <v>0</v>
      </c>
      <c r="D10" s="246">
        <v>0</v>
      </c>
      <c r="E10" s="246">
        <v>0</v>
      </c>
      <c r="F10" s="246">
        <v>0</v>
      </c>
      <c r="G10" s="246"/>
      <c r="H10" s="246">
        <v>0</v>
      </c>
      <c r="I10" s="246">
        <v>0</v>
      </c>
      <c r="J10" s="246">
        <v>0</v>
      </c>
      <c r="K10" s="246">
        <v>216000000</v>
      </c>
      <c r="L10" s="246">
        <v>238410000</v>
      </c>
      <c r="M10" s="246">
        <v>238410000</v>
      </c>
      <c r="N10" s="246">
        <v>238410000</v>
      </c>
      <c r="O10" s="246">
        <v>238410000</v>
      </c>
      <c r="P10" s="246">
        <v>238410000</v>
      </c>
      <c r="Q10" s="840">
        <f>P10</f>
        <v>238410000</v>
      </c>
      <c r="R10" s="246">
        <f t="shared" si="0"/>
        <v>0</v>
      </c>
    </row>
    <row r="11" spans="1:23" ht="23.1" customHeight="1">
      <c r="A11" s="392">
        <v>21202</v>
      </c>
      <c r="B11" s="246" t="s">
        <v>180</v>
      </c>
      <c r="C11" s="246">
        <v>56250000</v>
      </c>
      <c r="D11" s="246">
        <v>65000000</v>
      </c>
      <c r="E11" s="246">
        <v>65000000</v>
      </c>
      <c r="F11" s="246">
        <v>65000000</v>
      </c>
      <c r="G11" s="246">
        <v>86788800</v>
      </c>
      <c r="H11" s="246">
        <v>141500000</v>
      </c>
      <c r="I11" s="246">
        <v>200000000</v>
      </c>
      <c r="J11" s="246">
        <v>6869200</v>
      </c>
      <c r="K11" s="246">
        <v>35612200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840">
        <v>0</v>
      </c>
      <c r="R11" s="246">
        <f t="shared" si="0"/>
        <v>0</v>
      </c>
    </row>
    <row r="12" spans="1:23" ht="23.1" customHeight="1">
      <c r="A12" s="392">
        <v>21203</v>
      </c>
      <c r="B12" s="246" t="s">
        <v>223</v>
      </c>
      <c r="C12" s="246">
        <v>18000000</v>
      </c>
      <c r="D12" s="246">
        <f>25000000-2000000</f>
        <v>23000000</v>
      </c>
      <c r="E12" s="246">
        <v>23000000</v>
      </c>
      <c r="F12" s="246">
        <v>23000000</v>
      </c>
      <c r="G12" s="246">
        <v>18400000</v>
      </c>
      <c r="H12" s="246">
        <v>56000000</v>
      </c>
      <c r="I12" s="246">
        <v>100000000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840">
        <v>0</v>
      </c>
      <c r="R12" s="246">
        <f t="shared" si="0"/>
        <v>0</v>
      </c>
    </row>
    <row r="13" spans="1:23" ht="23.1" customHeight="1">
      <c r="A13" s="392">
        <v>21204</v>
      </c>
      <c r="B13" s="246" t="s">
        <v>188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150000000</v>
      </c>
      <c r="I13" s="246">
        <v>150000000</v>
      </c>
      <c r="J13" s="246">
        <v>21501800</v>
      </c>
      <c r="K13" s="246">
        <f>1385605000*70%</f>
        <v>969923499.99999988</v>
      </c>
      <c r="L13" s="246">
        <v>300000000</v>
      </c>
      <c r="M13" s="246">
        <f>L13</f>
        <v>300000000</v>
      </c>
      <c r="N13" s="246">
        <f>M13</f>
        <v>300000000</v>
      </c>
      <c r="O13" s="246">
        <v>150000000</v>
      </c>
      <c r="P13" s="246">
        <v>150000000</v>
      </c>
      <c r="Q13" s="840">
        <v>210000000</v>
      </c>
      <c r="R13" s="246">
        <f t="shared" si="0"/>
        <v>60000000</v>
      </c>
    </row>
    <row r="14" spans="1:23" ht="23.1" customHeight="1">
      <c r="A14" s="392"/>
      <c r="B14" s="280" t="s">
        <v>92</v>
      </c>
      <c r="C14" s="246">
        <v>11878000</v>
      </c>
      <c r="D14" s="246">
        <f>2000000+2000000</f>
        <v>4000000</v>
      </c>
      <c r="E14" s="246">
        <v>2000000</v>
      </c>
      <c r="F14" s="246">
        <v>2000000</v>
      </c>
      <c r="G14" s="246">
        <v>1600000</v>
      </c>
      <c r="H14" s="246">
        <v>30000000</v>
      </c>
      <c r="I14" s="246">
        <v>60000000</v>
      </c>
      <c r="J14" s="280">
        <f t="shared" ref="J14:N14" si="1">SUM(J4:J12)</f>
        <v>650841600</v>
      </c>
      <c r="K14" s="280">
        <f t="shared" si="1"/>
        <v>2683012200</v>
      </c>
      <c r="L14" s="280">
        <f t="shared" si="1"/>
        <v>2541237200</v>
      </c>
      <c r="M14" s="280">
        <f t="shared" si="1"/>
        <v>2724669200</v>
      </c>
      <c r="N14" s="280">
        <f t="shared" si="1"/>
        <v>4061946640</v>
      </c>
      <c r="O14" s="280">
        <f>SUM(O10:O13)</f>
        <v>388410000</v>
      </c>
      <c r="P14" s="280">
        <f>SUM(P10:P13)</f>
        <v>388410000</v>
      </c>
      <c r="Q14" s="851">
        <f>SUM(Q10:Q13)</f>
        <v>448410000</v>
      </c>
      <c r="R14" s="280">
        <f t="shared" si="0"/>
        <v>60000000</v>
      </c>
    </row>
    <row r="15" spans="1:23" ht="23.1" customHeight="1">
      <c r="A15" s="476">
        <v>220</v>
      </c>
      <c r="B15" s="280" t="s">
        <v>225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200000000</v>
      </c>
      <c r="I15" s="246">
        <v>200000000</v>
      </c>
      <c r="J15" s="246"/>
      <c r="K15" s="246"/>
      <c r="L15" s="246"/>
      <c r="M15" s="246"/>
      <c r="N15" s="246"/>
      <c r="O15" s="246"/>
      <c r="P15" s="246"/>
      <c r="Q15" s="840"/>
      <c r="R15" s="246">
        <f t="shared" si="0"/>
        <v>0</v>
      </c>
    </row>
    <row r="16" spans="1:23" ht="23.1" customHeight="1">
      <c r="A16" s="476">
        <v>2210</v>
      </c>
      <c r="B16" s="280" t="s">
        <v>226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840"/>
      <c r="R16" s="246">
        <f t="shared" si="0"/>
        <v>0</v>
      </c>
    </row>
    <row r="17" spans="1:23" ht="23.1" customHeight="1">
      <c r="A17" s="392">
        <v>22101</v>
      </c>
      <c r="B17" s="246" t="s">
        <v>33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356850000</v>
      </c>
      <c r="I17" s="246">
        <v>0</v>
      </c>
      <c r="J17" s="246">
        <v>11479200</v>
      </c>
      <c r="K17" s="246">
        <f>39500000*70%</f>
        <v>27650000</v>
      </c>
      <c r="L17" s="246">
        <f>39500000*70%</f>
        <v>27650000</v>
      </c>
      <c r="M17" s="246">
        <f>L17</f>
        <v>27650000</v>
      </c>
      <c r="N17" s="246">
        <f>M17</f>
        <v>27650000</v>
      </c>
      <c r="O17" s="246">
        <f>N17</f>
        <v>27650000</v>
      </c>
      <c r="P17" s="246">
        <v>313380000</v>
      </c>
      <c r="Q17" s="840">
        <v>313380000</v>
      </c>
      <c r="R17" s="246">
        <f t="shared" si="0"/>
        <v>0</v>
      </c>
    </row>
    <row r="18" spans="1:23" ht="23.1" customHeight="1">
      <c r="A18" s="392">
        <v>22102</v>
      </c>
      <c r="B18" s="246" t="s">
        <v>124</v>
      </c>
      <c r="C18" s="246">
        <v>1500000</v>
      </c>
      <c r="D18" s="246">
        <v>5500000</v>
      </c>
      <c r="E18" s="246">
        <v>500000</v>
      </c>
      <c r="F18" s="246">
        <v>500000</v>
      </c>
      <c r="G18" s="246">
        <v>400000</v>
      </c>
      <c r="H18" s="246">
        <v>12000000</v>
      </c>
      <c r="I18" s="246">
        <v>20000000</v>
      </c>
      <c r="J18" s="246">
        <v>0</v>
      </c>
      <c r="K18" s="246">
        <f>693900000*70%</f>
        <v>485729999.99999994</v>
      </c>
      <c r="L18" s="246">
        <f>693900000*70%</f>
        <v>485729999.99999994</v>
      </c>
      <c r="M18" s="246">
        <f>L18</f>
        <v>485729999.99999994</v>
      </c>
      <c r="N18" s="246">
        <v>285730000</v>
      </c>
      <c r="O18" s="246">
        <v>285730000</v>
      </c>
      <c r="P18" s="246">
        <v>0</v>
      </c>
      <c r="Q18" s="840">
        <v>0</v>
      </c>
      <c r="R18" s="246">
        <f t="shared" si="0"/>
        <v>0</v>
      </c>
    </row>
    <row r="19" spans="1:23" ht="23.1" customHeight="1">
      <c r="A19" s="392">
        <v>22103</v>
      </c>
      <c r="B19" s="246" t="s">
        <v>125</v>
      </c>
      <c r="C19" s="246"/>
      <c r="D19" s="246"/>
      <c r="E19" s="246"/>
      <c r="F19" s="246"/>
      <c r="G19" s="246"/>
      <c r="H19" s="246"/>
      <c r="I19" s="246"/>
      <c r="J19" s="246">
        <v>8500000</v>
      </c>
      <c r="K19" s="246">
        <f>2340000000*70%</f>
        <v>1638000000</v>
      </c>
      <c r="L19" s="246">
        <f>K19</f>
        <v>1638000000</v>
      </c>
      <c r="M19" s="246">
        <v>1878000000</v>
      </c>
      <c r="N19" s="246">
        <v>1878000000</v>
      </c>
      <c r="O19" s="246">
        <v>1768000000</v>
      </c>
      <c r="P19" s="246">
        <v>1768000000</v>
      </c>
      <c r="Q19" s="840">
        <v>2068000000</v>
      </c>
      <c r="R19" s="246">
        <f t="shared" si="0"/>
        <v>300000000</v>
      </c>
      <c r="W19" s="552"/>
    </row>
    <row r="20" spans="1:23" s="530" customFormat="1" ht="23.1" customHeight="1">
      <c r="A20" s="392">
        <v>22104</v>
      </c>
      <c r="B20" s="246" t="s">
        <v>157</v>
      </c>
      <c r="C20" s="246"/>
      <c r="D20" s="246"/>
      <c r="E20" s="246"/>
      <c r="F20" s="246"/>
      <c r="G20" s="246"/>
      <c r="H20" s="246"/>
      <c r="I20" s="246"/>
      <c r="J20" s="246">
        <v>32726886</v>
      </c>
      <c r="K20" s="246">
        <f>275160000*70%</f>
        <v>192612000</v>
      </c>
      <c r="L20" s="246">
        <f>275160000*70%</f>
        <v>192612000</v>
      </c>
      <c r="M20" s="246">
        <f>L20</f>
        <v>192612000</v>
      </c>
      <c r="N20" s="246">
        <v>282612000</v>
      </c>
      <c r="O20" s="246">
        <v>282612000</v>
      </c>
      <c r="P20" s="246">
        <v>593048000</v>
      </c>
      <c r="Q20" s="840">
        <v>593048000</v>
      </c>
      <c r="R20" s="246">
        <f t="shared" si="0"/>
        <v>0</v>
      </c>
      <c r="W20" s="615"/>
    </row>
    <row r="21" spans="1:23" ht="23.1" customHeight="1">
      <c r="A21" s="392">
        <v>21105</v>
      </c>
      <c r="B21" s="246" t="s">
        <v>1400</v>
      </c>
      <c r="C21" s="246"/>
      <c r="D21" s="246"/>
      <c r="E21" s="246"/>
      <c r="F21" s="246"/>
      <c r="G21" s="246"/>
      <c r="H21" s="246"/>
      <c r="I21" s="246"/>
      <c r="J21" s="246">
        <v>136500000</v>
      </c>
      <c r="K21" s="246">
        <f>136500000*70%+400000000</f>
        <v>495550000</v>
      </c>
      <c r="L21" s="246">
        <f>136500000*70%+400000000</f>
        <v>495550000</v>
      </c>
      <c r="M21" s="246">
        <f>L21</f>
        <v>495550000</v>
      </c>
      <c r="N21" s="246">
        <v>0</v>
      </c>
      <c r="O21" s="246">
        <v>0</v>
      </c>
      <c r="P21" s="246">
        <v>0</v>
      </c>
      <c r="Q21" s="840">
        <v>100000000</v>
      </c>
      <c r="R21" s="246">
        <f t="shared" si="0"/>
        <v>100000000</v>
      </c>
    </row>
    <row r="22" spans="1:23" ht="23.1" customHeight="1">
      <c r="A22" s="392">
        <v>22106</v>
      </c>
      <c r="B22" s="246" t="s">
        <v>126</v>
      </c>
      <c r="C22" s="246">
        <v>2500000</v>
      </c>
      <c r="D22" s="246">
        <v>2000000</v>
      </c>
      <c r="E22" s="246">
        <v>2000000</v>
      </c>
      <c r="F22" s="246">
        <v>2000000</v>
      </c>
      <c r="G22" s="246">
        <v>1600000</v>
      </c>
      <c r="H22" s="246">
        <v>41000000</v>
      </c>
      <c r="I22" s="246">
        <v>41000000</v>
      </c>
      <c r="J22" s="246">
        <v>15735744</v>
      </c>
      <c r="K22" s="246">
        <f>40400000*70%</f>
        <v>28280000</v>
      </c>
      <c r="L22" s="246">
        <v>20000000</v>
      </c>
      <c r="M22" s="246">
        <v>20000000</v>
      </c>
      <c r="N22" s="246">
        <v>15000000</v>
      </c>
      <c r="O22" s="246">
        <v>15000000</v>
      </c>
      <c r="P22" s="246">
        <v>15000000</v>
      </c>
      <c r="Q22" s="840">
        <v>15000000</v>
      </c>
      <c r="R22" s="246">
        <f t="shared" si="0"/>
        <v>0</v>
      </c>
    </row>
    <row r="23" spans="1:23" ht="23.1" customHeight="1">
      <c r="A23" s="392">
        <v>22107</v>
      </c>
      <c r="B23" s="246" t="s">
        <v>48</v>
      </c>
      <c r="C23" s="246">
        <f t="shared" ref="C23:I23" si="2">SUM(C17:C22)</f>
        <v>4000000</v>
      </c>
      <c r="D23" s="246">
        <f t="shared" si="2"/>
        <v>7500000</v>
      </c>
      <c r="E23" s="246">
        <f t="shared" si="2"/>
        <v>2500000</v>
      </c>
      <c r="F23" s="246">
        <f t="shared" si="2"/>
        <v>2500000</v>
      </c>
      <c r="G23" s="246">
        <f t="shared" si="2"/>
        <v>2000000</v>
      </c>
      <c r="H23" s="246">
        <f t="shared" si="2"/>
        <v>409850000</v>
      </c>
      <c r="I23" s="280">
        <f t="shared" si="2"/>
        <v>61000000</v>
      </c>
      <c r="J23" s="246">
        <v>19737600</v>
      </c>
      <c r="K23" s="246">
        <v>1447754000</v>
      </c>
      <c r="L23" s="246">
        <f>K23</f>
        <v>1447754000</v>
      </c>
      <c r="M23" s="246">
        <v>1647754000</v>
      </c>
      <c r="N23" s="246">
        <v>1647754000</v>
      </c>
      <c r="O23" s="246">
        <v>1647754000</v>
      </c>
      <c r="P23" s="246">
        <v>1647754000</v>
      </c>
      <c r="Q23" s="840">
        <v>2047754000</v>
      </c>
      <c r="R23" s="246">
        <f t="shared" si="0"/>
        <v>400000000</v>
      </c>
    </row>
    <row r="24" spans="1:23" s="530" customFormat="1" ht="23.1" customHeight="1">
      <c r="A24" s="392">
        <v>22108</v>
      </c>
      <c r="B24" s="246" t="s">
        <v>93</v>
      </c>
      <c r="C24" s="246"/>
      <c r="D24" s="246"/>
      <c r="E24" s="246"/>
      <c r="F24" s="246"/>
      <c r="G24" s="246"/>
      <c r="H24" s="246"/>
      <c r="I24" s="246"/>
      <c r="J24" s="246">
        <v>0</v>
      </c>
      <c r="K24" s="246">
        <v>2527600000</v>
      </c>
      <c r="L24" s="246">
        <f>K24</f>
        <v>2527600000</v>
      </c>
      <c r="M24" s="246">
        <v>3307600000</v>
      </c>
      <c r="N24" s="246">
        <v>4307600000</v>
      </c>
      <c r="O24" s="246">
        <v>4207600000</v>
      </c>
      <c r="P24" s="246">
        <v>4207600000</v>
      </c>
      <c r="Q24" s="840">
        <v>6707600000</v>
      </c>
      <c r="R24" s="246">
        <f t="shared" si="0"/>
        <v>2500000000</v>
      </c>
    </row>
    <row r="25" spans="1:23" s="530" customFormat="1" ht="23.1" customHeight="1">
      <c r="A25" s="392">
        <v>22109</v>
      </c>
      <c r="B25" s="246" t="s">
        <v>136</v>
      </c>
      <c r="C25" s="246">
        <v>23000000</v>
      </c>
      <c r="D25" s="246">
        <v>15000000</v>
      </c>
      <c r="E25" s="246">
        <v>8949700</v>
      </c>
      <c r="F25" s="246">
        <v>8949700</v>
      </c>
      <c r="G25" s="246">
        <v>12000000</v>
      </c>
      <c r="H25" s="246">
        <v>80000000</v>
      </c>
      <c r="I25" s="246">
        <v>80000000</v>
      </c>
      <c r="J25" s="246">
        <v>25610000</v>
      </c>
      <c r="K25" s="246">
        <f>127605000*70%</f>
        <v>89323500</v>
      </c>
      <c r="L25" s="246">
        <f>127605000*70%</f>
        <v>89323500</v>
      </c>
      <c r="M25" s="246">
        <f t="shared" ref="M25:P30" si="3">L25</f>
        <v>89323500</v>
      </c>
      <c r="N25" s="246">
        <f t="shared" si="3"/>
        <v>89323500</v>
      </c>
      <c r="O25" s="246">
        <f t="shared" si="3"/>
        <v>89323500</v>
      </c>
      <c r="P25" s="246">
        <f t="shared" si="3"/>
        <v>89323500</v>
      </c>
      <c r="Q25" s="840">
        <v>275000000</v>
      </c>
      <c r="R25" s="246">
        <f t="shared" si="0"/>
        <v>185676500</v>
      </c>
    </row>
    <row r="26" spans="1:23" ht="23.1" customHeight="1">
      <c r="A26" s="392">
        <v>22112</v>
      </c>
      <c r="B26" s="246" t="s">
        <v>35</v>
      </c>
      <c r="C26" s="246">
        <v>10061000</v>
      </c>
      <c r="D26" s="246">
        <v>2000000</v>
      </c>
      <c r="E26" s="246">
        <v>0</v>
      </c>
      <c r="F26" s="246">
        <v>0</v>
      </c>
      <c r="G26" s="246">
        <v>0</v>
      </c>
      <c r="H26" s="246">
        <v>30000000</v>
      </c>
      <c r="I26" s="246">
        <v>40000000</v>
      </c>
      <c r="J26" s="246">
        <v>3038784</v>
      </c>
      <c r="K26" s="246">
        <v>70800000</v>
      </c>
      <c r="L26" s="246">
        <v>70800000</v>
      </c>
      <c r="M26" s="246">
        <f t="shared" si="3"/>
        <v>70800000</v>
      </c>
      <c r="N26" s="246">
        <v>100800000</v>
      </c>
      <c r="O26" s="246">
        <v>100800000</v>
      </c>
      <c r="P26" s="246">
        <v>100800000</v>
      </c>
      <c r="Q26" s="840">
        <v>100800000</v>
      </c>
      <c r="R26" s="246">
        <f t="shared" si="0"/>
        <v>0</v>
      </c>
    </row>
    <row r="27" spans="1:23" ht="23.1" customHeight="1">
      <c r="A27" s="392">
        <v>22118</v>
      </c>
      <c r="B27" s="246" t="s">
        <v>378</v>
      </c>
      <c r="C27" s="246"/>
      <c r="D27" s="246"/>
      <c r="E27" s="246"/>
      <c r="F27" s="246"/>
      <c r="G27" s="246"/>
      <c r="H27" s="246"/>
      <c r="I27" s="246"/>
      <c r="J27" s="246">
        <v>0</v>
      </c>
      <c r="K27" s="246">
        <f>315450000*70%</f>
        <v>220815000</v>
      </c>
      <c r="L27" s="246">
        <f>315450000*70%</f>
        <v>220815000</v>
      </c>
      <c r="M27" s="246">
        <f t="shared" si="3"/>
        <v>220815000</v>
      </c>
      <c r="N27" s="246">
        <v>0</v>
      </c>
      <c r="O27" s="246">
        <v>0</v>
      </c>
      <c r="P27" s="246">
        <v>0</v>
      </c>
      <c r="Q27" s="840">
        <v>0</v>
      </c>
      <c r="R27" s="246">
        <f t="shared" si="0"/>
        <v>0</v>
      </c>
    </row>
    <row r="28" spans="1:23" ht="23.1" customHeight="1">
      <c r="A28" s="392">
        <v>22125</v>
      </c>
      <c r="B28" s="246" t="s">
        <v>1431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>
        <v>0</v>
      </c>
      <c r="Q28" s="840">
        <v>800000000</v>
      </c>
      <c r="R28" s="246">
        <f t="shared" si="0"/>
        <v>800000000</v>
      </c>
    </row>
    <row r="29" spans="1:23" ht="23.1" customHeight="1">
      <c r="A29" s="392">
        <v>22130</v>
      </c>
      <c r="B29" s="246" t="s">
        <v>267</v>
      </c>
      <c r="C29" s="246"/>
      <c r="D29" s="246"/>
      <c r="E29" s="246"/>
      <c r="F29" s="246"/>
      <c r="G29" s="246"/>
      <c r="H29" s="246"/>
      <c r="I29" s="246"/>
      <c r="J29" s="246">
        <v>9256033256</v>
      </c>
      <c r="K29" s="246">
        <f>16005243233</f>
        <v>16005243233</v>
      </c>
      <c r="L29" s="246">
        <f>K29</f>
        <v>16005243233</v>
      </c>
      <c r="M29" s="246">
        <f t="shared" si="3"/>
        <v>16005243233</v>
      </c>
      <c r="N29" s="246">
        <f t="shared" si="3"/>
        <v>16005243233</v>
      </c>
      <c r="O29" s="246">
        <f>N29</f>
        <v>16005243233</v>
      </c>
      <c r="P29" s="246">
        <f>O29</f>
        <v>16005243233</v>
      </c>
      <c r="Q29" s="840">
        <f>P29</f>
        <v>16005243233</v>
      </c>
      <c r="R29" s="246">
        <f t="shared" si="0"/>
        <v>0</v>
      </c>
    </row>
    <row r="30" spans="1:23" ht="23.1" customHeight="1">
      <c r="A30" s="392">
        <v>22132</v>
      </c>
      <c r="B30" s="246" t="s">
        <v>187</v>
      </c>
      <c r="C30" s="246">
        <v>3000000</v>
      </c>
      <c r="D30" s="246">
        <v>1500000</v>
      </c>
      <c r="E30" s="246">
        <v>0</v>
      </c>
      <c r="F30" s="246">
        <v>0</v>
      </c>
      <c r="G30" s="246">
        <v>0</v>
      </c>
      <c r="H30" s="246">
        <v>15000000</v>
      </c>
      <c r="I30" s="246">
        <v>20000000</v>
      </c>
      <c r="J30" s="246">
        <v>1355821960</v>
      </c>
      <c r="K30" s="246">
        <v>2306215372</v>
      </c>
      <c r="L30" s="246">
        <v>2283805372</v>
      </c>
      <c r="M30" s="246">
        <f t="shared" si="3"/>
        <v>2283805372</v>
      </c>
      <c r="N30" s="246">
        <v>2543805372</v>
      </c>
      <c r="O30" s="246">
        <v>2543805372</v>
      </c>
      <c r="P30" s="246">
        <v>2543805372</v>
      </c>
      <c r="Q30" s="840">
        <v>5043805372</v>
      </c>
      <c r="R30" s="246">
        <f t="shared" si="0"/>
        <v>2500000000</v>
      </c>
    </row>
    <row r="31" spans="1:23" ht="23.1" customHeight="1">
      <c r="A31" s="392">
        <v>22174</v>
      </c>
      <c r="B31" s="246" t="s">
        <v>1398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>
        <v>0</v>
      </c>
      <c r="Q31" s="840">
        <v>1400000000</v>
      </c>
      <c r="R31" s="246">
        <f t="shared" si="0"/>
        <v>1400000000</v>
      </c>
    </row>
    <row r="32" spans="1:23" ht="23.1" customHeight="1">
      <c r="A32" s="392">
        <v>22180</v>
      </c>
      <c r="B32" s="246" t="s">
        <v>1233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>
        <v>2200000000</v>
      </c>
      <c r="N32" s="246">
        <v>3018013000</v>
      </c>
      <c r="O32" s="246">
        <v>3500000000</v>
      </c>
      <c r="P32" s="246">
        <v>4500000000</v>
      </c>
      <c r="Q32" s="840">
        <v>6000000000</v>
      </c>
      <c r="R32" s="246">
        <f t="shared" si="0"/>
        <v>1500000000</v>
      </c>
    </row>
    <row r="33" spans="1:23" ht="23.1" customHeight="1">
      <c r="A33" s="392">
        <v>22181</v>
      </c>
      <c r="B33" s="246" t="s">
        <v>1234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>
        <v>0</v>
      </c>
      <c r="N33" s="246">
        <v>875800000</v>
      </c>
      <c r="O33" s="246">
        <v>1145800000</v>
      </c>
      <c r="P33" s="246">
        <v>1300000000</v>
      </c>
      <c r="Q33" s="840">
        <v>2100000000</v>
      </c>
      <c r="R33" s="246">
        <f t="shared" si="0"/>
        <v>800000000</v>
      </c>
    </row>
    <row r="34" spans="1:23" s="530" customFormat="1" ht="23.1" customHeight="1">
      <c r="A34" s="392"/>
      <c r="B34" s="280" t="s">
        <v>92</v>
      </c>
      <c r="C34" s="246">
        <v>0</v>
      </c>
      <c r="D34" s="246">
        <v>0</v>
      </c>
      <c r="E34" s="246">
        <v>0</v>
      </c>
      <c r="F34" s="246">
        <v>0</v>
      </c>
      <c r="G34" s="246">
        <v>16000000</v>
      </c>
      <c r="H34" s="246">
        <v>360113000</v>
      </c>
      <c r="I34" s="246">
        <v>208212162</v>
      </c>
      <c r="J34" s="280">
        <f>SUM(J17:J32)</f>
        <v>10865183430</v>
      </c>
      <c r="K34" s="280">
        <f>SUM(K17:K32)</f>
        <v>25535573105</v>
      </c>
      <c r="L34" s="280">
        <f>SUM(L17:L32)</f>
        <v>25504883105</v>
      </c>
      <c r="M34" s="280">
        <f>SUM(M17:M30)</f>
        <v>26724883105</v>
      </c>
      <c r="N34" s="280">
        <f>SUM(N17:N30)</f>
        <v>27183518105</v>
      </c>
      <c r="O34" s="280">
        <f>SUM(O17:O33)</f>
        <v>31619318105</v>
      </c>
      <c r="P34" s="280">
        <f>SUM(P17:P33)</f>
        <v>33083954105</v>
      </c>
      <c r="Q34" s="851">
        <f>SUM(Q17:Q33)</f>
        <v>43569630605</v>
      </c>
      <c r="R34" s="280">
        <f t="shared" si="0"/>
        <v>10485676500</v>
      </c>
    </row>
    <row r="35" spans="1:23" ht="23.1" customHeight="1">
      <c r="A35" s="476">
        <v>2220</v>
      </c>
      <c r="B35" s="280" t="s">
        <v>240</v>
      </c>
      <c r="C35" s="246"/>
      <c r="D35" s="246"/>
      <c r="E35" s="246"/>
      <c r="F35" s="246"/>
      <c r="G35" s="246"/>
      <c r="H35" s="246"/>
      <c r="I35" s="246">
        <v>0</v>
      </c>
      <c r="J35" s="246"/>
      <c r="K35" s="246"/>
      <c r="L35" s="246"/>
      <c r="M35" s="246"/>
      <c r="N35" s="246"/>
      <c r="O35" s="246"/>
      <c r="P35" s="246"/>
      <c r="Q35" s="840"/>
      <c r="R35" s="246">
        <f t="shared" si="0"/>
        <v>0</v>
      </c>
    </row>
    <row r="36" spans="1:23" ht="23.1" customHeight="1">
      <c r="A36" s="392">
        <v>22201</v>
      </c>
      <c r="B36" s="246" t="s">
        <v>132</v>
      </c>
      <c r="C36" s="280" t="e">
        <f>#REF!+#REF!+#REF!+#REF!+#REF!</f>
        <v>#REF!</v>
      </c>
      <c r="D36" s="280" t="e">
        <f>#REF!+#REF!+#REF!+#REF!+#REF!</f>
        <v>#REF!</v>
      </c>
      <c r="E36" s="280" t="e">
        <f>#REF!+#REF!+#REF!+#REF!+#REF!</f>
        <v>#REF!</v>
      </c>
      <c r="F36" s="280" t="e">
        <f>#REF!+#REF!+#REF!+#REF!+#REF!</f>
        <v>#REF!</v>
      </c>
      <c r="G36" s="280" t="e">
        <f>#REF!+#REF!+#REF!+#REF!+#REF!</f>
        <v>#REF!</v>
      </c>
      <c r="H36" s="280" t="e">
        <f>#REF!+#REF!+#REF!+#REF!+#REF!</f>
        <v>#REF!</v>
      </c>
      <c r="I36" s="280" t="e">
        <f>#REF!+#REF!+#REF!+#REF!+#REF!</f>
        <v>#REF!</v>
      </c>
      <c r="J36" s="246">
        <v>7800000</v>
      </c>
      <c r="K36" s="246">
        <f t="shared" ref="K36:Q36" si="4">7800000*70%</f>
        <v>5460000</v>
      </c>
      <c r="L36" s="246">
        <f t="shared" si="4"/>
        <v>5460000</v>
      </c>
      <c r="M36" s="246">
        <f t="shared" si="4"/>
        <v>5460000</v>
      </c>
      <c r="N36" s="246">
        <f t="shared" si="4"/>
        <v>5460000</v>
      </c>
      <c r="O36" s="246">
        <f t="shared" si="4"/>
        <v>5460000</v>
      </c>
      <c r="P36" s="246">
        <f t="shared" si="4"/>
        <v>5460000</v>
      </c>
      <c r="Q36" s="840">
        <f t="shared" si="4"/>
        <v>5460000</v>
      </c>
      <c r="R36" s="246">
        <f t="shared" si="0"/>
        <v>0</v>
      </c>
    </row>
    <row r="37" spans="1:23" ht="23.1" customHeight="1">
      <c r="A37" s="392">
        <v>22202</v>
      </c>
      <c r="B37" s="246" t="s">
        <v>133</v>
      </c>
      <c r="C37" s="292"/>
      <c r="D37" s="292"/>
      <c r="E37" s="292"/>
      <c r="F37" s="274">
        <v>0</v>
      </c>
      <c r="G37" s="274" t="s">
        <v>4</v>
      </c>
      <c r="H37" s="274"/>
      <c r="I37" s="274"/>
      <c r="J37" s="246">
        <v>660119248</v>
      </c>
      <c r="K37" s="246">
        <v>1334950874</v>
      </c>
      <c r="L37" s="246">
        <f>K37</f>
        <v>1334950874</v>
      </c>
      <c r="M37" s="246">
        <v>1134950874</v>
      </c>
      <c r="N37" s="246">
        <v>1100000000</v>
      </c>
      <c r="O37" s="246">
        <v>1100000000</v>
      </c>
      <c r="P37" s="246">
        <v>1548987728</v>
      </c>
      <c r="Q37" s="840">
        <v>1548987728</v>
      </c>
      <c r="R37" s="246">
        <f t="shared" si="0"/>
        <v>0</v>
      </c>
      <c r="W37" s="552"/>
    </row>
    <row r="38" spans="1:23" ht="23.1" customHeight="1">
      <c r="A38" s="392">
        <v>22203</v>
      </c>
      <c r="B38" s="246" t="s">
        <v>127</v>
      </c>
      <c r="C38" s="292"/>
      <c r="D38" s="292"/>
      <c r="E38" s="292"/>
      <c r="F38" s="274"/>
      <c r="G38" s="274"/>
      <c r="H38" s="274"/>
      <c r="I38" s="274"/>
      <c r="J38" s="246">
        <v>38304400</v>
      </c>
      <c r="K38" s="246">
        <v>120715500</v>
      </c>
      <c r="L38" s="246">
        <v>120715500</v>
      </c>
      <c r="M38" s="246">
        <f>L38</f>
        <v>120715500</v>
      </c>
      <c r="N38" s="246">
        <v>140715500</v>
      </c>
      <c r="O38" s="246">
        <v>140715500</v>
      </c>
      <c r="P38" s="246">
        <v>140715500</v>
      </c>
      <c r="Q38" s="840">
        <v>140715500</v>
      </c>
      <c r="R38" s="246">
        <f t="shared" si="0"/>
        <v>0</v>
      </c>
    </row>
    <row r="39" spans="1:23" ht="23.1" customHeight="1">
      <c r="A39" s="392">
        <v>22204</v>
      </c>
      <c r="B39" s="246" t="s">
        <v>128</v>
      </c>
      <c r="C39" s="246"/>
      <c r="D39" s="246"/>
      <c r="E39" s="246"/>
      <c r="F39" s="246"/>
      <c r="G39" s="246"/>
      <c r="H39" s="246"/>
      <c r="I39" s="246"/>
      <c r="J39" s="246">
        <v>6017984</v>
      </c>
      <c r="K39" s="246">
        <f>72185000*70%</f>
        <v>50529500</v>
      </c>
      <c r="L39" s="246">
        <f>72185000*70%</f>
        <v>50529500</v>
      </c>
      <c r="M39" s="246">
        <f>L39</f>
        <v>50529500</v>
      </c>
      <c r="N39" s="246">
        <v>480000000</v>
      </c>
      <c r="O39" s="246">
        <v>580000000</v>
      </c>
      <c r="P39" s="246">
        <v>580000000</v>
      </c>
      <c r="Q39" s="840">
        <v>580000000</v>
      </c>
      <c r="R39" s="246">
        <f t="shared" si="0"/>
        <v>0</v>
      </c>
    </row>
    <row r="40" spans="1:23" ht="23.1" customHeight="1">
      <c r="A40" s="392">
        <v>22205</v>
      </c>
      <c r="B40" s="246" t="s">
        <v>134</v>
      </c>
      <c r="C40" s="246">
        <v>4000000</v>
      </c>
      <c r="D40" s="246">
        <v>2000000</v>
      </c>
      <c r="E40" s="246">
        <v>0</v>
      </c>
      <c r="F40" s="246">
        <v>0</v>
      </c>
      <c r="G40" s="246">
        <v>0</v>
      </c>
      <c r="H40" s="246">
        <v>200000000</v>
      </c>
      <c r="I40" s="246">
        <v>200000000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840">
        <v>0</v>
      </c>
      <c r="R40" s="246">
        <f t="shared" si="0"/>
        <v>0</v>
      </c>
    </row>
    <row r="41" spans="1:23" ht="23.1" customHeight="1">
      <c r="A41" s="392"/>
      <c r="B41" s="280" t="s">
        <v>92</v>
      </c>
      <c r="C41" s="246">
        <v>10089000</v>
      </c>
      <c r="D41" s="246">
        <v>10004000</v>
      </c>
      <c r="E41" s="246">
        <v>20004000</v>
      </c>
      <c r="F41" s="246">
        <v>20004000</v>
      </c>
      <c r="G41" s="246">
        <v>40003200</v>
      </c>
      <c r="H41" s="246">
        <v>100000000</v>
      </c>
      <c r="I41" s="246">
        <v>100000000</v>
      </c>
      <c r="J41" s="280">
        <f t="shared" ref="J41:O41" si="5">SUM(J36:J40)</f>
        <v>712241632</v>
      </c>
      <c r="K41" s="280">
        <f t="shared" si="5"/>
        <v>1511655874</v>
      </c>
      <c r="L41" s="280">
        <f t="shared" si="5"/>
        <v>1511655874</v>
      </c>
      <c r="M41" s="280">
        <f t="shared" si="5"/>
        <v>1311655874</v>
      </c>
      <c r="N41" s="280">
        <f t="shared" si="5"/>
        <v>1726175500</v>
      </c>
      <c r="O41" s="280">
        <f t="shared" si="5"/>
        <v>1826175500</v>
      </c>
      <c r="P41" s="280">
        <f>SUM(P36:P40)</f>
        <v>2275163228</v>
      </c>
      <c r="Q41" s="851">
        <f>SUM(Q36:Q40)</f>
        <v>2275163228</v>
      </c>
      <c r="R41" s="280">
        <f t="shared" si="0"/>
        <v>0</v>
      </c>
    </row>
    <row r="42" spans="1:23" ht="23.1" customHeight="1">
      <c r="A42" s="476">
        <v>2230</v>
      </c>
      <c r="B42" s="280" t="s">
        <v>130</v>
      </c>
      <c r="C42" s="246">
        <v>0</v>
      </c>
      <c r="D42" s="246">
        <v>0</v>
      </c>
      <c r="E42" s="246">
        <v>0</v>
      </c>
      <c r="F42" s="246">
        <v>0</v>
      </c>
      <c r="G42" s="246">
        <v>0</v>
      </c>
      <c r="H42" s="246">
        <v>616200000</v>
      </c>
      <c r="I42" s="246">
        <v>616200000</v>
      </c>
      <c r="J42" s="246"/>
      <c r="K42" s="246"/>
      <c r="L42" s="246"/>
      <c r="M42" s="246"/>
      <c r="N42" s="246"/>
      <c r="O42" s="246"/>
      <c r="P42" s="246"/>
      <c r="Q42" s="840"/>
      <c r="R42" s="246">
        <f t="shared" si="0"/>
        <v>0</v>
      </c>
    </row>
    <row r="43" spans="1:23" ht="23.1" customHeight="1">
      <c r="A43" s="392">
        <v>22301</v>
      </c>
      <c r="B43" s="246" t="s">
        <v>49</v>
      </c>
      <c r="C43" s="246">
        <v>13333000</v>
      </c>
      <c r="D43" s="246">
        <v>5000000</v>
      </c>
      <c r="E43" s="246">
        <v>0</v>
      </c>
      <c r="F43" s="246">
        <v>0</v>
      </c>
      <c r="G43" s="246">
        <v>0</v>
      </c>
      <c r="H43" s="246">
        <v>100000000</v>
      </c>
      <c r="I43" s="246">
        <v>70000000</v>
      </c>
      <c r="J43" s="246">
        <v>59340500</v>
      </c>
      <c r="K43" s="246">
        <v>117060845</v>
      </c>
      <c r="L43" s="246">
        <v>117060845</v>
      </c>
      <c r="M43" s="246">
        <f t="shared" ref="M43:Q44" si="6">L43</f>
        <v>117060845</v>
      </c>
      <c r="N43" s="246">
        <f t="shared" si="6"/>
        <v>117060845</v>
      </c>
      <c r="O43" s="246">
        <f t="shared" si="6"/>
        <v>117060845</v>
      </c>
      <c r="P43" s="246">
        <f t="shared" si="6"/>
        <v>117060845</v>
      </c>
      <c r="Q43" s="840">
        <v>147000000</v>
      </c>
      <c r="R43" s="246">
        <f t="shared" si="0"/>
        <v>29939155</v>
      </c>
    </row>
    <row r="44" spans="1:23" ht="23.1" customHeight="1">
      <c r="A44" s="392">
        <v>22302</v>
      </c>
      <c r="B44" s="246" t="s">
        <v>249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4424000</v>
      </c>
      <c r="K44" s="246">
        <f>36424000*70%</f>
        <v>25496800</v>
      </c>
      <c r="L44" s="246">
        <f>36424000*70%</f>
        <v>25496800</v>
      </c>
      <c r="M44" s="246">
        <f t="shared" si="6"/>
        <v>25496800</v>
      </c>
      <c r="N44" s="246">
        <f t="shared" si="6"/>
        <v>25496800</v>
      </c>
      <c r="O44" s="246">
        <f t="shared" si="6"/>
        <v>25496800</v>
      </c>
      <c r="P44" s="246">
        <f t="shared" si="6"/>
        <v>25496800</v>
      </c>
      <c r="Q44" s="840">
        <f t="shared" si="6"/>
        <v>25496800</v>
      </c>
      <c r="R44" s="246">
        <f t="shared" si="0"/>
        <v>0</v>
      </c>
    </row>
    <row r="45" spans="1:23" ht="23.1" customHeight="1">
      <c r="A45" s="392"/>
      <c r="B45" s="280" t="s">
        <v>92</v>
      </c>
      <c r="C45" s="280" t="e">
        <f>#REF!+#REF!+C39+C23+#REF!</f>
        <v>#REF!</v>
      </c>
      <c r="D45" s="280" t="e">
        <f>#REF!+#REF!+D39+D23+#REF!</f>
        <v>#REF!</v>
      </c>
      <c r="E45" s="280" t="e">
        <f>#REF!+#REF!+E39+E23+#REF!</f>
        <v>#REF!</v>
      </c>
      <c r="F45" s="280" t="e">
        <f>#REF!+#REF!+F39+F23+#REF!</f>
        <v>#REF!</v>
      </c>
      <c r="G45" s="280" t="e">
        <f>#REF!+#REF!+G23+G39+#REF!</f>
        <v>#REF!</v>
      </c>
      <c r="H45" s="280" t="e">
        <f>#REF!+#REF!+H39+H23+#REF!</f>
        <v>#REF!</v>
      </c>
      <c r="I45" s="280" t="e">
        <f>#REF!+#REF!+I39+I23+#REF!</f>
        <v>#REF!</v>
      </c>
      <c r="J45" s="280">
        <f t="shared" ref="J45:N45" si="7">SUM(J43:J44)</f>
        <v>63764500</v>
      </c>
      <c r="K45" s="280">
        <f t="shared" si="7"/>
        <v>142557645</v>
      </c>
      <c r="L45" s="280">
        <f t="shared" si="7"/>
        <v>142557645</v>
      </c>
      <c r="M45" s="280">
        <f t="shared" si="7"/>
        <v>142557645</v>
      </c>
      <c r="N45" s="280">
        <f t="shared" si="7"/>
        <v>142557645</v>
      </c>
      <c r="O45" s="280">
        <f>SUM(O43:O44)</f>
        <v>142557645</v>
      </c>
      <c r="P45" s="280">
        <f>SUM(P43:P44)</f>
        <v>142557645</v>
      </c>
      <c r="Q45" s="851">
        <f>SUM(Q43:Q44)</f>
        <v>172496800</v>
      </c>
      <c r="R45" s="280">
        <f t="shared" si="0"/>
        <v>29939155</v>
      </c>
    </row>
    <row r="46" spans="1:23" ht="23.1" customHeight="1">
      <c r="A46" s="476">
        <v>270</v>
      </c>
      <c r="B46" s="280" t="s">
        <v>253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840"/>
      <c r="R46" s="246">
        <f t="shared" si="0"/>
        <v>0</v>
      </c>
    </row>
    <row r="47" spans="1:23" ht="23.1" customHeight="1">
      <c r="A47" s="476">
        <v>2710</v>
      </c>
      <c r="B47" s="280" t="s">
        <v>252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840"/>
      <c r="R47" s="246">
        <f t="shared" si="0"/>
        <v>0</v>
      </c>
    </row>
    <row r="48" spans="1:23" ht="23.1" customHeight="1">
      <c r="A48" s="392">
        <v>27601</v>
      </c>
      <c r="B48" s="246" t="s">
        <v>264</v>
      </c>
      <c r="C48" s="246"/>
      <c r="D48" s="246"/>
      <c r="E48" s="246"/>
      <c r="F48" s="246"/>
      <c r="G48" s="246"/>
      <c r="H48" s="246"/>
      <c r="I48" s="246"/>
      <c r="J48" s="246">
        <v>7480000</v>
      </c>
      <c r="K48" s="246">
        <f>146040000*70%</f>
        <v>102228000</v>
      </c>
      <c r="L48" s="246">
        <f>K48</f>
        <v>102228000</v>
      </c>
      <c r="M48" s="246">
        <f>L48</f>
        <v>102228000</v>
      </c>
      <c r="N48" s="246">
        <f>M48</f>
        <v>102228000</v>
      </c>
      <c r="O48" s="246">
        <f>N48</f>
        <v>102228000</v>
      </c>
      <c r="P48" s="246">
        <v>0</v>
      </c>
      <c r="Q48" s="840">
        <v>0</v>
      </c>
      <c r="R48" s="246">
        <f t="shared" si="0"/>
        <v>0</v>
      </c>
    </row>
    <row r="49" spans="1:18" ht="23.1" customHeight="1">
      <c r="A49" s="392">
        <v>27402</v>
      </c>
      <c r="B49" s="246" t="s">
        <v>1250</v>
      </c>
      <c r="C49" s="246"/>
      <c r="D49" s="246"/>
      <c r="E49" s="246"/>
      <c r="F49" s="246"/>
      <c r="G49" s="246"/>
      <c r="H49" s="246"/>
      <c r="I49" s="246"/>
      <c r="J49" s="246">
        <v>524149920</v>
      </c>
      <c r="K49" s="246">
        <v>599475000</v>
      </c>
      <c r="L49" s="246">
        <v>126000000</v>
      </c>
      <c r="M49" s="246">
        <v>708000000</v>
      </c>
      <c r="N49" s="246">
        <v>918000000</v>
      </c>
      <c r="O49" s="246">
        <v>168000000</v>
      </c>
      <c r="P49" s="246">
        <v>1050000000</v>
      </c>
      <c r="Q49" s="840">
        <v>0</v>
      </c>
      <c r="R49" s="246">
        <f t="shared" si="0"/>
        <v>-1050000000</v>
      </c>
    </row>
    <row r="50" spans="1:18" ht="23.1" customHeight="1">
      <c r="A50" s="392">
        <v>27502</v>
      </c>
      <c r="B50" s="246" t="s">
        <v>148</v>
      </c>
      <c r="C50" s="246"/>
      <c r="D50" s="246"/>
      <c r="E50" s="246"/>
      <c r="F50" s="246"/>
      <c r="G50" s="246"/>
      <c r="H50" s="246"/>
      <c r="I50" s="246"/>
      <c r="J50" s="246">
        <v>0</v>
      </c>
      <c r="K50" s="246">
        <f>40085000*70%</f>
        <v>28059500</v>
      </c>
      <c r="L50" s="246">
        <f t="shared" ref="L50:O51" si="8">K50</f>
        <v>28059500</v>
      </c>
      <c r="M50" s="246">
        <f t="shared" si="8"/>
        <v>28059500</v>
      </c>
      <c r="N50" s="246">
        <f t="shared" si="8"/>
        <v>28059500</v>
      </c>
      <c r="O50" s="246">
        <f t="shared" si="8"/>
        <v>28059500</v>
      </c>
      <c r="P50" s="246">
        <f>O50</f>
        <v>28059500</v>
      </c>
      <c r="Q50" s="840">
        <f>P50</f>
        <v>28059500</v>
      </c>
      <c r="R50" s="246">
        <f t="shared" si="0"/>
        <v>0</v>
      </c>
    </row>
    <row r="51" spans="1:18" ht="23.1" customHeight="1">
      <c r="A51" s="392">
        <v>27608</v>
      </c>
      <c r="B51" s="246" t="s">
        <v>978</v>
      </c>
      <c r="C51" s="246"/>
      <c r="D51" s="246"/>
      <c r="E51" s="246"/>
      <c r="F51" s="246"/>
      <c r="G51" s="246"/>
      <c r="H51" s="246"/>
      <c r="I51" s="246"/>
      <c r="J51" s="246">
        <v>0</v>
      </c>
      <c r="K51" s="246">
        <f>14085000*70%</f>
        <v>9859500</v>
      </c>
      <c r="L51" s="246">
        <f t="shared" si="8"/>
        <v>9859500</v>
      </c>
      <c r="M51" s="246">
        <f t="shared" si="8"/>
        <v>9859500</v>
      </c>
      <c r="N51" s="246">
        <f t="shared" si="8"/>
        <v>9859500</v>
      </c>
      <c r="O51" s="246">
        <f t="shared" si="8"/>
        <v>9859500</v>
      </c>
      <c r="P51" s="246">
        <f>O51</f>
        <v>9859500</v>
      </c>
      <c r="Q51" s="840">
        <f>P51</f>
        <v>9859500</v>
      </c>
      <c r="R51" s="246">
        <f t="shared" si="0"/>
        <v>0</v>
      </c>
    </row>
    <row r="52" spans="1:18" ht="23.1" customHeight="1">
      <c r="A52" s="392"/>
      <c r="B52" s="280" t="s">
        <v>92</v>
      </c>
      <c r="C52" s="246"/>
      <c r="D52" s="246"/>
      <c r="E52" s="246"/>
      <c r="F52" s="246"/>
      <c r="G52" s="246"/>
      <c r="H52" s="246"/>
      <c r="I52" s="246"/>
      <c r="J52" s="280">
        <f t="shared" ref="J52:N52" si="9">SUM(J48:J51)</f>
        <v>531629920</v>
      </c>
      <c r="K52" s="280">
        <f t="shared" si="9"/>
        <v>739622000</v>
      </c>
      <c r="L52" s="280">
        <f t="shared" si="9"/>
        <v>266147000</v>
      </c>
      <c r="M52" s="280">
        <f t="shared" si="9"/>
        <v>848147000</v>
      </c>
      <c r="N52" s="280">
        <f t="shared" si="9"/>
        <v>1058147000</v>
      </c>
      <c r="O52" s="280">
        <f>SUM(O48:O51)</f>
        <v>308147000</v>
      </c>
      <c r="P52" s="280">
        <f>SUM(P48:P51)</f>
        <v>1087919000</v>
      </c>
      <c r="Q52" s="851">
        <f>SUM(Q48:Q51)</f>
        <v>37919000</v>
      </c>
      <c r="R52" s="280">
        <f t="shared" si="0"/>
        <v>-1050000000</v>
      </c>
    </row>
    <row r="53" spans="1:18" ht="23.1" customHeight="1">
      <c r="A53" s="476">
        <v>27202</v>
      </c>
      <c r="B53" s="280" t="s">
        <v>469</v>
      </c>
      <c r="C53" s="246"/>
      <c r="D53" s="246"/>
      <c r="E53" s="246"/>
      <c r="F53" s="246"/>
      <c r="G53" s="246"/>
      <c r="H53" s="246"/>
      <c r="I53" s="246"/>
      <c r="J53" s="280"/>
      <c r="K53" s="280"/>
      <c r="L53" s="280"/>
      <c r="M53" s="280"/>
      <c r="N53" s="280"/>
      <c r="O53" s="280"/>
      <c r="P53" s="280"/>
      <c r="Q53" s="851"/>
      <c r="R53" s="246">
        <f t="shared" si="0"/>
        <v>0</v>
      </c>
    </row>
    <row r="54" spans="1:18" ht="23.1" customHeight="1">
      <c r="A54" s="392">
        <v>27202</v>
      </c>
      <c r="B54" s="246" t="s">
        <v>1285</v>
      </c>
      <c r="C54" s="246"/>
      <c r="D54" s="246"/>
      <c r="E54" s="246"/>
      <c r="F54" s="246"/>
      <c r="G54" s="246"/>
      <c r="H54" s="246"/>
      <c r="I54" s="246"/>
      <c r="J54" s="280"/>
      <c r="K54" s="280"/>
      <c r="L54" s="246"/>
      <c r="M54" s="246">
        <v>0</v>
      </c>
      <c r="N54" s="246">
        <v>300000000</v>
      </c>
      <c r="O54" s="246">
        <v>0</v>
      </c>
      <c r="P54" s="246">
        <v>1800000000</v>
      </c>
      <c r="Q54" s="840">
        <v>0</v>
      </c>
      <c r="R54" s="246">
        <f t="shared" si="0"/>
        <v>-1800000000</v>
      </c>
    </row>
    <row r="55" spans="1:18" ht="23.1" customHeight="1">
      <c r="A55" s="392"/>
      <c r="B55" s="280" t="s">
        <v>92</v>
      </c>
      <c r="C55" s="246"/>
      <c r="D55" s="246"/>
      <c r="E55" s="246"/>
      <c r="F55" s="246"/>
      <c r="G55" s="246"/>
      <c r="H55" s="246"/>
      <c r="I55" s="246"/>
      <c r="J55" s="280"/>
      <c r="K55" s="280">
        <v>0</v>
      </c>
      <c r="L55" s="280" t="e">
        <f>SUM(#REF!)</f>
        <v>#REF!</v>
      </c>
      <c r="M55" s="280" t="e">
        <f>SUM(#REF!)</f>
        <v>#REF!</v>
      </c>
      <c r="N55" s="280">
        <f>SUM(N54)</f>
        <v>300000000</v>
      </c>
      <c r="O55" s="280">
        <f>SUM(O54)</f>
        <v>0</v>
      </c>
      <c r="P55" s="280">
        <f>SUM(P54)</f>
        <v>1800000000</v>
      </c>
      <c r="Q55" s="851">
        <f>SUM(Q54)</f>
        <v>0</v>
      </c>
      <c r="R55" s="280">
        <f t="shared" si="0"/>
        <v>-1800000000</v>
      </c>
    </row>
    <row r="56" spans="1:18" ht="23.1" customHeight="1">
      <c r="A56" s="392">
        <v>2810</v>
      </c>
      <c r="B56" s="280" t="s">
        <v>1242</v>
      </c>
      <c r="C56" s="246"/>
      <c r="D56" s="246"/>
      <c r="E56" s="246"/>
      <c r="F56" s="246"/>
      <c r="G56" s="246"/>
      <c r="H56" s="246"/>
      <c r="I56" s="246"/>
      <c r="J56" s="280"/>
      <c r="K56" s="280"/>
      <c r="L56" s="280"/>
      <c r="M56" s="280"/>
      <c r="N56" s="280"/>
      <c r="O56" s="280"/>
      <c r="P56" s="280"/>
      <c r="Q56" s="851"/>
      <c r="R56" s="246">
        <f t="shared" si="0"/>
        <v>0</v>
      </c>
    </row>
    <row r="57" spans="1:18" ht="23.1" customHeight="1">
      <c r="A57" s="392">
        <v>28102</v>
      </c>
      <c r="B57" s="246" t="s">
        <v>1399</v>
      </c>
      <c r="C57" s="246"/>
      <c r="D57" s="246"/>
      <c r="E57" s="246"/>
      <c r="F57" s="246"/>
      <c r="G57" s="246"/>
      <c r="H57" s="246"/>
      <c r="I57" s="246"/>
      <c r="J57" s="280"/>
      <c r="K57" s="280"/>
      <c r="L57" s="280"/>
      <c r="M57" s="280"/>
      <c r="N57" s="280"/>
      <c r="O57" s="280">
        <v>0</v>
      </c>
      <c r="P57" s="246">
        <v>2000000000</v>
      </c>
      <c r="Q57" s="840">
        <f>P57</f>
        <v>2000000000</v>
      </c>
      <c r="R57" s="246">
        <f t="shared" si="0"/>
        <v>0</v>
      </c>
    </row>
    <row r="58" spans="1:18" ht="23.1" customHeight="1">
      <c r="A58" s="392"/>
      <c r="B58" s="280" t="s">
        <v>92</v>
      </c>
      <c r="C58" s="246"/>
      <c r="D58" s="246"/>
      <c r="E58" s="246"/>
      <c r="F58" s="246"/>
      <c r="G58" s="246"/>
      <c r="H58" s="246"/>
      <c r="I58" s="246"/>
      <c r="J58" s="280"/>
      <c r="K58" s="280"/>
      <c r="L58" s="280"/>
      <c r="M58" s="280"/>
      <c r="N58" s="280"/>
      <c r="O58" s="280">
        <f>SUM(O57)</f>
        <v>0</v>
      </c>
      <c r="P58" s="280">
        <f>SUM(P57)</f>
        <v>2000000000</v>
      </c>
      <c r="Q58" s="851">
        <f>SUM(Q57)</f>
        <v>2000000000</v>
      </c>
      <c r="R58" s="280">
        <f t="shared" si="0"/>
        <v>0</v>
      </c>
    </row>
    <row r="59" spans="1:18" ht="23.1" customHeight="1">
      <c r="A59" s="392"/>
      <c r="B59" s="280" t="s">
        <v>37</v>
      </c>
      <c r="C59" s="246"/>
      <c r="D59" s="246"/>
      <c r="E59" s="246"/>
      <c r="F59" s="246"/>
      <c r="G59" s="246"/>
      <c r="H59" s="246"/>
      <c r="I59" s="246"/>
      <c r="J59" s="280" t="e">
        <f>#REF!+J52+J45+J41+J34+J14</f>
        <v>#REF!</v>
      </c>
      <c r="K59" s="280" t="e">
        <f>#REF!+K52+K45+K41+K34+K14</f>
        <v>#REF!</v>
      </c>
      <c r="L59" s="280" t="e">
        <f>L55+#REF!+L52+L45+L41+L34+L14</f>
        <v>#REF!</v>
      </c>
      <c r="M59" s="280" t="e">
        <f>M55+#REF!+M52+M45+M41+M34+M14</f>
        <v>#REF!</v>
      </c>
      <c r="N59" s="280">
        <f>N55+N52+N45+N41+N34+N14</f>
        <v>34472344890</v>
      </c>
      <c r="O59" s="280">
        <f>O55+O52+O45+O41+O34+O14+O8+O58</f>
        <v>38516040570</v>
      </c>
      <c r="P59" s="280">
        <f>P55+P52+P45+P41+P34+P14+P8+P58</f>
        <v>45380740778</v>
      </c>
      <c r="Q59" s="851">
        <f>Q55+Q52+Q45+Q41+Q34+Q14+Q8+Q58</f>
        <v>56534978865</v>
      </c>
      <c r="R59" s="280">
        <f t="shared" si="0"/>
        <v>11154238087</v>
      </c>
    </row>
  </sheetData>
  <phoneticPr fontId="0" type="noConversion"/>
  <printOptions gridLines="1"/>
  <pageMargins left="0.73" right="0.3" top="0.9" bottom="0.47" header="0.3" footer="0.25"/>
  <pageSetup scale="50" orientation="portrait" r:id="rId1"/>
  <headerFooter alignWithMargins="0">
    <oddHeader>&amp;C&amp;"Algerian,Bold"&amp;36WASAARADdA MADAXTOOYAdDA</oddHeader>
    <oddFooter>&amp;R&amp;14 &amp;16 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topLeftCell="A40" zoomScale="61" zoomScaleSheetLayoutView="61" workbookViewId="0">
      <selection activeCell="S53" sqref="S53"/>
    </sheetView>
  </sheetViews>
  <sheetFormatPr defaultRowHeight="23.1" customHeight="1"/>
  <cols>
    <col min="1" max="1" width="16.33203125" style="399" customWidth="1"/>
    <col min="2" max="2" width="83.6640625" style="399" customWidth="1"/>
    <col min="3" max="3" width="0.1640625" style="399" hidden="1" customWidth="1"/>
    <col min="4" max="4" width="0.33203125" style="399" hidden="1" customWidth="1"/>
    <col min="5" max="5" width="13.33203125" style="399" hidden="1" customWidth="1"/>
    <col min="6" max="7" width="0.1640625" style="399" hidden="1" customWidth="1"/>
    <col min="8" max="8" width="14.5" style="399" hidden="1" customWidth="1"/>
    <col min="9" max="9" width="17.6640625" style="399" hidden="1" customWidth="1"/>
    <col min="10" max="10" width="23.5" style="399" hidden="1" customWidth="1"/>
    <col min="11" max="11" width="43.33203125" style="399" hidden="1" customWidth="1"/>
    <col min="12" max="12" width="33.83203125" style="399" hidden="1" customWidth="1"/>
    <col min="13" max="13" width="33.5" style="399" hidden="1" customWidth="1"/>
    <col min="14" max="14" width="0.1640625" style="399" hidden="1" customWidth="1"/>
    <col min="15" max="17" width="32.83203125" style="399" hidden="1" customWidth="1"/>
    <col min="18" max="19" width="32.83203125" style="399" customWidth="1"/>
    <col min="20" max="20" width="27.5" style="399" bestFit="1" customWidth="1"/>
    <col min="21" max="16384" width="9.33203125" style="399"/>
  </cols>
  <sheetData>
    <row r="1" spans="1:20" ht="23.1" customHeight="1">
      <c r="A1" s="476" t="s">
        <v>39</v>
      </c>
      <c r="B1" s="477" t="s">
        <v>990</v>
      </c>
      <c r="C1" s="246"/>
      <c r="D1" s="246"/>
      <c r="E1" s="246"/>
      <c r="F1" s="246"/>
      <c r="G1" s="246"/>
      <c r="H1" s="246"/>
      <c r="I1" s="246"/>
      <c r="J1" s="246"/>
      <c r="K1" s="246"/>
      <c r="L1" s="280"/>
      <c r="M1" s="594"/>
      <c r="N1" s="594"/>
      <c r="O1" s="594"/>
      <c r="P1" s="594"/>
      <c r="Q1" s="594"/>
      <c r="R1" s="594"/>
      <c r="S1" s="594"/>
      <c r="T1" s="491"/>
    </row>
    <row r="2" spans="1:20" ht="23.1" customHeight="1">
      <c r="A2" s="476" t="s">
        <v>25</v>
      </c>
      <c r="B2" s="303" t="s">
        <v>26</v>
      </c>
      <c r="C2" s="280" t="s">
        <v>38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63</v>
      </c>
      <c r="I2" s="286" t="s">
        <v>103</v>
      </c>
      <c r="J2" s="286" t="s">
        <v>266</v>
      </c>
      <c r="K2" s="286" t="s">
        <v>260</v>
      </c>
      <c r="L2" s="286" t="s">
        <v>266</v>
      </c>
      <c r="M2" s="286" t="s">
        <v>260</v>
      </c>
      <c r="N2" s="286" t="s">
        <v>440</v>
      </c>
      <c r="O2" s="286" t="s">
        <v>806</v>
      </c>
      <c r="P2" s="286" t="s">
        <v>872</v>
      </c>
      <c r="Q2" s="286" t="s">
        <v>972</v>
      </c>
      <c r="R2" s="286" t="s">
        <v>1159</v>
      </c>
      <c r="S2" s="286" t="s">
        <v>1319</v>
      </c>
      <c r="T2" s="286" t="s">
        <v>56</v>
      </c>
    </row>
    <row r="3" spans="1:20" s="682" customFormat="1" ht="23.1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301"/>
      <c r="I3" s="301"/>
      <c r="J3" s="301"/>
      <c r="K3" s="301"/>
      <c r="L3" s="246"/>
      <c r="M3" s="292"/>
      <c r="N3" s="292"/>
      <c r="O3" s="292"/>
      <c r="P3" s="292"/>
      <c r="Q3" s="292"/>
      <c r="R3" s="292"/>
      <c r="S3" s="292"/>
      <c r="T3" s="292"/>
    </row>
    <row r="4" spans="1:20" ht="23.1" customHeight="1">
      <c r="A4" s="476">
        <v>2110</v>
      </c>
      <c r="B4" s="280" t="s">
        <v>213</v>
      </c>
      <c r="C4" s="246">
        <v>61545000</v>
      </c>
      <c r="D4" s="246">
        <v>74124000</v>
      </c>
      <c r="E4" s="246">
        <v>64128000</v>
      </c>
      <c r="F4" s="246">
        <v>72660000</v>
      </c>
      <c r="G4" s="246">
        <v>72660000</v>
      </c>
      <c r="H4" s="246">
        <f>72660000+42936000</f>
        <v>115596000</v>
      </c>
      <c r="I4" s="246">
        <f>150274800+4149600+13104000+3198000</f>
        <v>170726400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92"/>
    </row>
    <row r="5" spans="1:20" ht="23.1" customHeight="1">
      <c r="A5" s="392">
        <v>21101</v>
      </c>
      <c r="B5" s="246" t="s">
        <v>405</v>
      </c>
      <c r="C5" s="246">
        <v>1180900</v>
      </c>
      <c r="D5" s="246"/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305572400</v>
      </c>
      <c r="K5" s="246"/>
      <c r="L5" s="246">
        <v>744681600</v>
      </c>
      <c r="M5" s="246">
        <v>1909440000</v>
      </c>
      <c r="N5" s="246">
        <v>1775779200</v>
      </c>
      <c r="O5" s="246">
        <v>1788508800</v>
      </c>
      <c r="P5" s="246">
        <v>3673762560</v>
      </c>
      <c r="Q5" s="246">
        <v>4090726080</v>
      </c>
      <c r="R5" s="246">
        <v>4076608320</v>
      </c>
      <c r="S5" s="246">
        <v>4627421568</v>
      </c>
      <c r="T5" s="274">
        <f>S5-R5</f>
        <v>550813248</v>
      </c>
    </row>
    <row r="6" spans="1:20" ht="23.1" customHeight="1">
      <c r="A6" s="392">
        <v>21102</v>
      </c>
      <c r="B6" s="246" t="s">
        <v>29</v>
      </c>
      <c r="C6" s="246">
        <v>1123486000</v>
      </c>
      <c r="D6" s="246">
        <v>1227036000</v>
      </c>
      <c r="E6" s="246">
        <v>1192428000</v>
      </c>
      <c r="F6" s="246">
        <f>1935276000+1200000</f>
        <v>1936476000</v>
      </c>
      <c r="G6" s="246">
        <f>1936476000+600000000</f>
        <v>2536476000</v>
      </c>
      <c r="H6" s="246">
        <f>2529276000+54000000</f>
        <v>2583276000</v>
      </c>
      <c r="I6" s="246">
        <f>2530476000+4800000</f>
        <v>2535276000</v>
      </c>
      <c r="J6" s="246">
        <v>0</v>
      </c>
      <c r="K6" s="246"/>
      <c r="L6" s="246">
        <v>0</v>
      </c>
      <c r="M6" s="246">
        <v>0</v>
      </c>
      <c r="N6" s="246">
        <v>0</v>
      </c>
      <c r="O6" s="246">
        <v>0</v>
      </c>
      <c r="P6" s="246">
        <v>0</v>
      </c>
      <c r="Q6" s="246">
        <v>0</v>
      </c>
      <c r="R6" s="246">
        <v>0</v>
      </c>
      <c r="S6" s="246">
        <v>0</v>
      </c>
      <c r="T6" s="274">
        <f t="shared" ref="T6:T53" si="0">S6-R6</f>
        <v>0</v>
      </c>
    </row>
    <row r="7" spans="1:20" ht="23.1" customHeight="1">
      <c r="A7" s="392">
        <v>21103</v>
      </c>
      <c r="B7" s="246" t="s">
        <v>808</v>
      </c>
      <c r="C7" s="246"/>
      <c r="D7" s="246"/>
      <c r="E7" s="246"/>
      <c r="F7" s="246"/>
      <c r="G7" s="246"/>
      <c r="H7" s="246"/>
      <c r="I7" s="246"/>
      <c r="J7" s="246">
        <v>338400000</v>
      </c>
      <c r="K7" s="246"/>
      <c r="L7" s="246">
        <v>264867000</v>
      </c>
      <c r="M7" s="246">
        <v>322467000</v>
      </c>
      <c r="N7" s="246">
        <v>322467000</v>
      </c>
      <c r="O7" s="246">
        <v>365667000</v>
      </c>
      <c r="P7" s="246">
        <f>O7</f>
        <v>365667000</v>
      </c>
      <c r="Q7" s="246">
        <f>P7</f>
        <v>365667000</v>
      </c>
      <c r="R7" s="246">
        <f>Q7</f>
        <v>365667000</v>
      </c>
      <c r="S7" s="840">
        <v>659267000</v>
      </c>
      <c r="T7" s="274">
        <f t="shared" si="0"/>
        <v>293600000</v>
      </c>
    </row>
    <row r="8" spans="1:20" ht="23.1" customHeight="1">
      <c r="A8" s="392">
        <v>21105</v>
      </c>
      <c r="B8" s="246" t="s">
        <v>497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>
        <v>0</v>
      </c>
      <c r="N8" s="246">
        <v>193680000</v>
      </c>
      <c r="O8" s="246">
        <v>202320000</v>
      </c>
      <c r="P8" s="246">
        <v>346320000</v>
      </c>
      <c r="Q8" s="246">
        <v>346320000</v>
      </c>
      <c r="R8" s="246">
        <v>1792320000</v>
      </c>
      <c r="S8" s="840">
        <v>1792320000</v>
      </c>
      <c r="T8" s="274">
        <f t="shared" si="0"/>
        <v>0</v>
      </c>
    </row>
    <row r="9" spans="1:20" s="493" customFormat="1" ht="23.1" customHeight="1">
      <c r="A9" s="476"/>
      <c r="B9" s="280" t="s">
        <v>92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>
        <f>SUM(Q5:Q8)</f>
        <v>4802713080</v>
      </c>
      <c r="R9" s="280">
        <f>SUM(R5:R8)</f>
        <v>6234595320</v>
      </c>
      <c r="S9" s="851">
        <f>SUM(S5:S8)</f>
        <v>7079008568</v>
      </c>
      <c r="T9" s="279">
        <f t="shared" si="0"/>
        <v>844413248</v>
      </c>
    </row>
    <row r="10" spans="1:20" ht="23.1" customHeight="1">
      <c r="A10" s="476">
        <v>2120</v>
      </c>
      <c r="B10" s="280" t="s">
        <v>218</v>
      </c>
      <c r="C10" s="246"/>
      <c r="D10" s="246"/>
      <c r="E10" s="246"/>
      <c r="F10" s="246"/>
      <c r="G10" s="246"/>
      <c r="H10" s="246"/>
      <c r="I10" s="246"/>
      <c r="J10" s="246"/>
      <c r="K10" s="280"/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/>
      <c r="R10" s="246"/>
      <c r="S10" s="840"/>
      <c r="T10" s="274">
        <f t="shared" si="0"/>
        <v>0</v>
      </c>
    </row>
    <row r="11" spans="1:20" ht="23.1" customHeight="1">
      <c r="A11" s="392">
        <v>21203</v>
      </c>
      <c r="B11" s="246" t="s">
        <v>223</v>
      </c>
      <c r="C11" s="246">
        <v>18000000</v>
      </c>
      <c r="D11" s="246">
        <f>25000000-2000000</f>
        <v>23000000</v>
      </c>
      <c r="E11" s="246">
        <v>23000000</v>
      </c>
      <c r="F11" s="246">
        <v>23000000</v>
      </c>
      <c r="G11" s="246">
        <v>18400000</v>
      </c>
      <c r="H11" s="246">
        <v>56000000</v>
      </c>
      <c r="I11" s="246">
        <v>100000000</v>
      </c>
      <c r="J11" s="246">
        <v>0</v>
      </c>
      <c r="K11" s="246"/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840">
        <v>0</v>
      </c>
      <c r="T11" s="274">
        <f t="shared" si="0"/>
        <v>0</v>
      </c>
    </row>
    <row r="12" spans="1:20" ht="23.1" customHeight="1">
      <c r="A12" s="392">
        <v>21204</v>
      </c>
      <c r="B12" s="246" t="s">
        <v>188</v>
      </c>
      <c r="C12" s="246">
        <v>4000000</v>
      </c>
      <c r="D12" s="246">
        <v>2000000</v>
      </c>
      <c r="E12" s="246">
        <v>0</v>
      </c>
      <c r="F12" s="246">
        <v>0</v>
      </c>
      <c r="G12" s="246">
        <v>0</v>
      </c>
      <c r="H12" s="246">
        <v>200000000</v>
      </c>
      <c r="I12" s="246">
        <v>200000000</v>
      </c>
      <c r="J12" s="246"/>
      <c r="K12" s="246"/>
      <c r="L12" s="246">
        <v>16187498</v>
      </c>
      <c r="M12" s="246">
        <f>16187498*70%</f>
        <v>11331248.6</v>
      </c>
      <c r="N12" s="246">
        <f>16187498*70%</f>
        <v>11331248.6</v>
      </c>
      <c r="O12" s="246">
        <v>100000000</v>
      </c>
      <c r="P12" s="246">
        <v>300000000</v>
      </c>
      <c r="Q12" s="246">
        <v>300000000</v>
      </c>
      <c r="R12" s="246">
        <v>300000000</v>
      </c>
      <c r="S12" s="840">
        <v>480000000</v>
      </c>
      <c r="T12" s="274">
        <f t="shared" si="0"/>
        <v>180000000</v>
      </c>
    </row>
    <row r="13" spans="1:20" ht="23.1" customHeight="1">
      <c r="A13" s="392"/>
      <c r="B13" s="280" t="s">
        <v>92</v>
      </c>
      <c r="C13" s="246">
        <v>11878000</v>
      </c>
      <c r="D13" s="246">
        <f>2000000+2000000</f>
        <v>4000000</v>
      </c>
      <c r="E13" s="246">
        <v>2000000</v>
      </c>
      <c r="F13" s="246">
        <v>2000000</v>
      </c>
      <c r="G13" s="246">
        <v>1600000</v>
      </c>
      <c r="H13" s="246">
        <v>30000000</v>
      </c>
      <c r="I13" s="246">
        <v>60000000</v>
      </c>
      <c r="J13" s="280">
        <f>SUM(J5:J11)</f>
        <v>643972400</v>
      </c>
      <c r="K13" s="246"/>
      <c r="L13" s="280">
        <f t="shared" ref="L13:P13" si="1">SUM(L5:L11)</f>
        <v>1009548600</v>
      </c>
      <c r="M13" s="280">
        <f t="shared" si="1"/>
        <v>2231907000</v>
      </c>
      <c r="N13" s="280">
        <f t="shared" si="1"/>
        <v>2291926200</v>
      </c>
      <c r="O13" s="280">
        <f t="shared" si="1"/>
        <v>2356495800</v>
      </c>
      <c r="P13" s="280">
        <f t="shared" si="1"/>
        <v>4385749560</v>
      </c>
      <c r="Q13" s="280">
        <f>SUM(Q11:Q12)</f>
        <v>300000000</v>
      </c>
      <c r="R13" s="280">
        <f>SUM(R11:R12)</f>
        <v>300000000</v>
      </c>
      <c r="S13" s="851">
        <f>SUM(S11:S12)</f>
        <v>480000000</v>
      </c>
      <c r="T13" s="279">
        <f t="shared" si="0"/>
        <v>180000000</v>
      </c>
    </row>
    <row r="14" spans="1:20" ht="23.1" customHeight="1">
      <c r="A14" s="476">
        <v>220</v>
      </c>
      <c r="B14" s="280" t="s">
        <v>225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200000000</v>
      </c>
      <c r="I14" s="246">
        <v>200000000</v>
      </c>
      <c r="J14" s="246"/>
      <c r="K14" s="246"/>
      <c r="L14" s="246"/>
      <c r="M14" s="246"/>
      <c r="N14" s="246"/>
      <c r="O14" s="246"/>
      <c r="P14" s="246"/>
      <c r="Q14" s="246"/>
      <c r="R14" s="246"/>
      <c r="S14" s="840"/>
      <c r="T14" s="274">
        <f t="shared" si="0"/>
        <v>0</v>
      </c>
    </row>
    <row r="15" spans="1:20" ht="23.1" customHeight="1">
      <c r="A15" s="476">
        <v>2210</v>
      </c>
      <c r="B15" s="280" t="s">
        <v>226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840"/>
      <c r="T15" s="274">
        <f t="shared" si="0"/>
        <v>0</v>
      </c>
    </row>
    <row r="16" spans="1:20" ht="23.1" customHeight="1">
      <c r="A16" s="392">
        <v>22101</v>
      </c>
      <c r="B16" s="246" t="s">
        <v>33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246">
        <v>356850000</v>
      </c>
      <c r="I16" s="246">
        <v>0</v>
      </c>
      <c r="J16" s="246">
        <v>11479200</v>
      </c>
      <c r="K16" s="246"/>
      <c r="L16" s="246">
        <v>9649999</v>
      </c>
      <c r="M16" s="246">
        <f>9649999*70%</f>
        <v>6754999.2999999998</v>
      </c>
      <c r="N16" s="246">
        <f>9649999*70%</f>
        <v>6754999.2999999998</v>
      </c>
      <c r="O16" s="246">
        <v>106754999</v>
      </c>
      <c r="P16" s="246">
        <v>106754999</v>
      </c>
      <c r="Q16" s="246">
        <v>106754999</v>
      </c>
      <c r="R16" s="246">
        <v>140000000</v>
      </c>
      <c r="S16" s="840">
        <v>257000000</v>
      </c>
      <c r="T16" s="274">
        <f t="shared" si="0"/>
        <v>117000000</v>
      </c>
    </row>
    <row r="17" spans="1:20" ht="23.1" customHeight="1">
      <c r="A17" s="392">
        <v>22102</v>
      </c>
      <c r="B17" s="246" t="s">
        <v>124</v>
      </c>
      <c r="C17" s="246">
        <v>1500000</v>
      </c>
      <c r="D17" s="246">
        <v>5500000</v>
      </c>
      <c r="E17" s="246">
        <v>500000</v>
      </c>
      <c r="F17" s="246">
        <v>500000</v>
      </c>
      <c r="G17" s="246">
        <v>400000</v>
      </c>
      <c r="H17" s="246">
        <v>12000000</v>
      </c>
      <c r="I17" s="246">
        <v>20000000</v>
      </c>
      <c r="J17" s="246">
        <v>0</v>
      </c>
      <c r="K17" s="246"/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840">
        <v>0</v>
      </c>
      <c r="T17" s="274">
        <f t="shared" si="0"/>
        <v>0</v>
      </c>
    </row>
    <row r="18" spans="1:20" ht="23.1" customHeight="1">
      <c r="A18" s="392">
        <v>22103</v>
      </c>
      <c r="B18" s="246" t="s">
        <v>125</v>
      </c>
      <c r="C18" s="246"/>
      <c r="D18" s="246"/>
      <c r="E18" s="246"/>
      <c r="F18" s="246"/>
      <c r="G18" s="246"/>
      <c r="H18" s="246"/>
      <c r="I18" s="246"/>
      <c r="J18" s="246">
        <v>8500000</v>
      </c>
      <c r="K18" s="246"/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851">
        <v>0</v>
      </c>
      <c r="T18" s="274">
        <f t="shared" si="0"/>
        <v>0</v>
      </c>
    </row>
    <row r="19" spans="1:20" ht="23.1" customHeight="1">
      <c r="A19" s="392">
        <v>22104</v>
      </c>
      <c r="B19" s="246" t="s">
        <v>157</v>
      </c>
      <c r="C19" s="246"/>
      <c r="D19" s="246"/>
      <c r="E19" s="246"/>
      <c r="F19" s="246"/>
      <c r="G19" s="246"/>
      <c r="H19" s="246"/>
      <c r="I19" s="246"/>
      <c r="J19" s="246">
        <v>32726886</v>
      </c>
      <c r="K19" s="246"/>
      <c r="L19" s="246">
        <v>6249998</v>
      </c>
      <c r="M19" s="246">
        <f>6249998*70%</f>
        <v>4374998.5999999996</v>
      </c>
      <c r="N19" s="246">
        <f>6249998*70%</f>
        <v>4374998.5999999996</v>
      </c>
      <c r="O19" s="246">
        <v>20000000</v>
      </c>
      <c r="P19" s="246">
        <v>20000000</v>
      </c>
      <c r="Q19" s="246">
        <v>20000000</v>
      </c>
      <c r="R19" s="246">
        <v>20000000</v>
      </c>
      <c r="S19" s="840">
        <v>20000000</v>
      </c>
      <c r="T19" s="274">
        <f t="shared" si="0"/>
        <v>0</v>
      </c>
    </row>
    <row r="20" spans="1:20" ht="23.1" customHeight="1">
      <c r="A20" s="392">
        <v>22105</v>
      </c>
      <c r="B20" s="246" t="s">
        <v>135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840">
        <v>0</v>
      </c>
      <c r="T20" s="274">
        <f t="shared" si="0"/>
        <v>0</v>
      </c>
    </row>
    <row r="21" spans="1:20" ht="23.1" customHeight="1">
      <c r="A21" s="392">
        <v>22106</v>
      </c>
      <c r="B21" s="246" t="s">
        <v>126</v>
      </c>
      <c r="C21" s="246">
        <v>2500000</v>
      </c>
      <c r="D21" s="246">
        <v>2000000</v>
      </c>
      <c r="E21" s="246">
        <v>2000000</v>
      </c>
      <c r="F21" s="246">
        <v>2000000</v>
      </c>
      <c r="G21" s="246">
        <v>1600000</v>
      </c>
      <c r="H21" s="246">
        <v>41000000</v>
      </c>
      <c r="I21" s="246">
        <v>41000000</v>
      </c>
      <c r="J21" s="246">
        <v>15735744</v>
      </c>
      <c r="K21" s="246"/>
      <c r="L21" s="246">
        <v>30975750</v>
      </c>
      <c r="M21" s="246">
        <f>45475750*70%</f>
        <v>31833024.999999996</v>
      </c>
      <c r="N21" s="246">
        <v>8280000</v>
      </c>
      <c r="O21" s="246">
        <v>108280000</v>
      </c>
      <c r="P21" s="246">
        <v>158280000</v>
      </c>
      <c r="Q21" s="246">
        <v>158280000</v>
      </c>
      <c r="R21" s="246">
        <v>158280000</v>
      </c>
      <c r="S21" s="840">
        <v>218280000</v>
      </c>
      <c r="T21" s="274">
        <f t="shared" si="0"/>
        <v>60000000</v>
      </c>
    </row>
    <row r="22" spans="1:20" ht="23.1" customHeight="1">
      <c r="A22" s="392">
        <v>22107</v>
      </c>
      <c r="B22" s="246" t="s">
        <v>48</v>
      </c>
      <c r="C22" s="246">
        <f t="shared" ref="C22:I22" si="2">SUM(C16:C21)</f>
        <v>4000000</v>
      </c>
      <c r="D22" s="246">
        <f t="shared" si="2"/>
        <v>7500000</v>
      </c>
      <c r="E22" s="246">
        <f t="shared" si="2"/>
        <v>2500000</v>
      </c>
      <c r="F22" s="246">
        <f t="shared" si="2"/>
        <v>2500000</v>
      </c>
      <c r="G22" s="246">
        <f t="shared" si="2"/>
        <v>2000000</v>
      </c>
      <c r="H22" s="246">
        <f t="shared" si="2"/>
        <v>409850000</v>
      </c>
      <c r="I22" s="280">
        <f t="shared" si="2"/>
        <v>61000000</v>
      </c>
      <c r="J22" s="280">
        <v>19737600</v>
      </c>
      <c r="K22" s="280"/>
      <c r="L22" s="246">
        <v>20000000</v>
      </c>
      <c r="M22" s="246">
        <f>20000000*70%</f>
        <v>14000000</v>
      </c>
      <c r="N22" s="246">
        <f>M22*70%</f>
        <v>9800000</v>
      </c>
      <c r="O22" s="246">
        <v>14000000</v>
      </c>
      <c r="P22" s="246">
        <v>14000000</v>
      </c>
      <c r="Q22" s="246">
        <v>14000000</v>
      </c>
      <c r="R22" s="246">
        <v>14000000</v>
      </c>
      <c r="S22" s="840">
        <v>14000000</v>
      </c>
      <c r="T22" s="274">
        <f t="shared" si="0"/>
        <v>0</v>
      </c>
    </row>
    <row r="23" spans="1:20" ht="23.1" customHeight="1">
      <c r="A23" s="392">
        <v>22108</v>
      </c>
      <c r="B23" s="246" t="s">
        <v>93</v>
      </c>
      <c r="C23" s="246"/>
      <c r="D23" s="246"/>
      <c r="E23" s="246"/>
      <c r="F23" s="246"/>
      <c r="G23" s="246"/>
      <c r="H23" s="246"/>
      <c r="I23" s="246"/>
      <c r="J23" s="246">
        <v>0</v>
      </c>
      <c r="K23" s="246"/>
      <c r="L23" s="246">
        <v>0</v>
      </c>
      <c r="M23" s="246">
        <v>0</v>
      </c>
      <c r="N23" s="246">
        <v>0</v>
      </c>
      <c r="O23" s="246">
        <v>356906000</v>
      </c>
      <c r="P23" s="246">
        <v>856000000</v>
      </c>
      <c r="Q23" s="246">
        <v>856000000</v>
      </c>
      <c r="R23" s="246">
        <v>856000000</v>
      </c>
      <c r="S23" s="840">
        <v>1037000000</v>
      </c>
      <c r="T23" s="274">
        <f t="shared" si="0"/>
        <v>181000000</v>
      </c>
    </row>
    <row r="24" spans="1:20" ht="23.1" customHeight="1">
      <c r="A24" s="392">
        <v>22109</v>
      </c>
      <c r="B24" s="246" t="s">
        <v>136</v>
      </c>
      <c r="C24" s="246">
        <v>23000000</v>
      </c>
      <c r="D24" s="246">
        <v>15000000</v>
      </c>
      <c r="E24" s="246">
        <v>8949700</v>
      </c>
      <c r="F24" s="246">
        <v>8949700</v>
      </c>
      <c r="G24" s="246">
        <v>12000000</v>
      </c>
      <c r="H24" s="246">
        <v>80000000</v>
      </c>
      <c r="I24" s="246">
        <v>80000000</v>
      </c>
      <c r="J24" s="246">
        <v>25610000</v>
      </c>
      <c r="K24" s="246"/>
      <c r="L24" s="246">
        <v>7500000</v>
      </c>
      <c r="M24" s="246">
        <f>7500000*70%</f>
        <v>5250000</v>
      </c>
      <c r="N24" s="246">
        <f>7500000*70%</f>
        <v>5250000</v>
      </c>
      <c r="O24" s="246">
        <v>10500000</v>
      </c>
      <c r="P24" s="246">
        <v>10500000</v>
      </c>
      <c r="Q24" s="246">
        <v>10500000</v>
      </c>
      <c r="R24" s="246">
        <v>10500000</v>
      </c>
      <c r="S24" s="840">
        <v>10500000</v>
      </c>
      <c r="T24" s="274">
        <f t="shared" si="0"/>
        <v>0</v>
      </c>
    </row>
    <row r="25" spans="1:20" ht="23.1" customHeight="1">
      <c r="A25" s="392">
        <v>22112</v>
      </c>
      <c r="B25" s="246" t="s">
        <v>605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>
        <v>30000000</v>
      </c>
      <c r="O25" s="246">
        <v>35000000</v>
      </c>
      <c r="P25" s="246">
        <v>55000000</v>
      </c>
      <c r="Q25" s="246">
        <v>55000000</v>
      </c>
      <c r="R25" s="246">
        <v>55000000</v>
      </c>
      <c r="S25" s="840">
        <v>55000000</v>
      </c>
      <c r="T25" s="274">
        <f t="shared" si="0"/>
        <v>0</v>
      </c>
    </row>
    <row r="26" spans="1:20" ht="23.1" customHeight="1">
      <c r="A26" s="392">
        <v>22132</v>
      </c>
      <c r="B26" s="246" t="s">
        <v>187</v>
      </c>
      <c r="C26" s="246">
        <v>3000000</v>
      </c>
      <c r="D26" s="246">
        <v>1500000</v>
      </c>
      <c r="E26" s="246">
        <v>0</v>
      </c>
      <c r="F26" s="246">
        <v>0</v>
      </c>
      <c r="G26" s="246">
        <v>0</v>
      </c>
      <c r="H26" s="246">
        <v>15000000</v>
      </c>
      <c r="I26" s="246">
        <v>20000000</v>
      </c>
      <c r="J26" s="246">
        <v>1355821960</v>
      </c>
      <c r="K26" s="246"/>
      <c r="L26" s="246">
        <v>70538356</v>
      </c>
      <c r="M26" s="246">
        <f>70538356*70%</f>
        <v>49376849.199999996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840">
        <v>65000000</v>
      </c>
      <c r="T26" s="274">
        <f t="shared" si="0"/>
        <v>65000000</v>
      </c>
    </row>
    <row r="27" spans="1:20" ht="23.1" customHeight="1">
      <c r="A27" s="392"/>
      <c r="B27" s="280" t="s">
        <v>92</v>
      </c>
      <c r="C27" s="246">
        <v>0</v>
      </c>
      <c r="D27" s="246">
        <v>0</v>
      </c>
      <c r="E27" s="246">
        <v>0</v>
      </c>
      <c r="F27" s="246">
        <v>0</v>
      </c>
      <c r="G27" s="246">
        <v>16000000</v>
      </c>
      <c r="H27" s="246">
        <v>360113000</v>
      </c>
      <c r="I27" s="246">
        <v>208212162</v>
      </c>
      <c r="J27" s="280">
        <f>SUM(J16:J26)</f>
        <v>1469611390</v>
      </c>
      <c r="K27" s="280"/>
      <c r="L27" s="280">
        <f t="shared" ref="L27:P27" si="3">SUM(L16:L26)</f>
        <v>144914103</v>
      </c>
      <c r="M27" s="280">
        <f t="shared" si="3"/>
        <v>111589872.09999999</v>
      </c>
      <c r="N27" s="280">
        <f t="shared" si="3"/>
        <v>64459997.899999999</v>
      </c>
      <c r="O27" s="280">
        <f t="shared" si="3"/>
        <v>651440999</v>
      </c>
      <c r="P27" s="280">
        <f t="shared" si="3"/>
        <v>1220534999</v>
      </c>
      <c r="Q27" s="280">
        <f>SUM(Q16:Q26)</f>
        <v>1220534999</v>
      </c>
      <c r="R27" s="280">
        <f>SUM(R16:R26)</f>
        <v>1253780000</v>
      </c>
      <c r="S27" s="851">
        <f>SUM(S16:S26)</f>
        <v>1676780000</v>
      </c>
      <c r="T27" s="279">
        <f t="shared" si="0"/>
        <v>423000000</v>
      </c>
    </row>
    <row r="28" spans="1:20" ht="23.1" customHeight="1">
      <c r="A28" s="476">
        <v>2220</v>
      </c>
      <c r="B28" s="280" t="s">
        <v>240</v>
      </c>
      <c r="C28" s="246"/>
      <c r="D28" s="246"/>
      <c r="E28" s="246"/>
      <c r="F28" s="246"/>
      <c r="G28" s="246"/>
      <c r="H28" s="246"/>
      <c r="I28" s="246">
        <v>0</v>
      </c>
      <c r="J28" s="246"/>
      <c r="K28" s="246"/>
      <c r="L28" s="280"/>
      <c r="M28" s="280"/>
      <c r="N28" s="280"/>
      <c r="O28" s="280"/>
      <c r="P28" s="280"/>
      <c r="Q28" s="280"/>
      <c r="R28" s="280"/>
      <c r="S28" s="851"/>
      <c r="T28" s="274">
        <f t="shared" si="0"/>
        <v>0</v>
      </c>
    </row>
    <row r="29" spans="1:20" ht="23.1" customHeight="1">
      <c r="A29" s="392">
        <v>22201</v>
      </c>
      <c r="B29" s="246" t="s">
        <v>132</v>
      </c>
      <c r="C29" s="280" t="e">
        <f>#REF!+#REF!+#REF!+#REF!+#REF!</f>
        <v>#REF!</v>
      </c>
      <c r="D29" s="280" t="e">
        <f>#REF!+#REF!+#REF!+#REF!+#REF!</f>
        <v>#REF!</v>
      </c>
      <c r="E29" s="280" t="e">
        <f>#REF!+#REF!+#REF!+#REF!+#REF!</f>
        <v>#REF!</v>
      </c>
      <c r="F29" s="280" t="e">
        <f>#REF!+#REF!+#REF!+#REF!+#REF!</f>
        <v>#REF!</v>
      </c>
      <c r="G29" s="280" t="e">
        <f>#REF!+#REF!+#REF!+#REF!+#REF!</f>
        <v>#REF!</v>
      </c>
      <c r="H29" s="280" t="e">
        <f>#REF!+#REF!+#REF!+#REF!+#REF!</f>
        <v>#REF!</v>
      </c>
      <c r="I29" s="280" t="e">
        <f>#REF!+#REF!+#REF!+#REF!+#REF!</f>
        <v>#REF!</v>
      </c>
      <c r="J29" s="246">
        <v>7800000</v>
      </c>
      <c r="K29" s="246"/>
      <c r="L29" s="246">
        <v>144400000</v>
      </c>
      <c r="M29" s="246">
        <f>216400000*70%</f>
        <v>151480000</v>
      </c>
      <c r="N29" s="246">
        <f>216400000*70%</f>
        <v>151480000</v>
      </c>
      <c r="O29" s="246">
        <v>270000000</v>
      </c>
      <c r="P29" s="246">
        <v>270000000</v>
      </c>
      <c r="Q29" s="246">
        <v>270000000</v>
      </c>
      <c r="R29" s="246">
        <v>324000000</v>
      </c>
      <c r="S29" s="840">
        <v>524000000</v>
      </c>
      <c r="T29" s="274">
        <f t="shared" si="0"/>
        <v>200000000</v>
      </c>
    </row>
    <row r="30" spans="1:20" ht="23.1" customHeight="1">
      <c r="A30" s="392">
        <v>22202</v>
      </c>
      <c r="B30" s="246" t="s">
        <v>133</v>
      </c>
      <c r="C30" s="292"/>
      <c r="D30" s="292"/>
      <c r="E30" s="292"/>
      <c r="F30" s="274">
        <v>0</v>
      </c>
      <c r="G30" s="274" t="s">
        <v>4</v>
      </c>
      <c r="H30" s="274"/>
      <c r="I30" s="274"/>
      <c r="J30" s="246">
        <v>660119248</v>
      </c>
      <c r="K30" s="246"/>
      <c r="L30" s="246">
        <v>126336000</v>
      </c>
      <c r="M30" s="246">
        <f>126336000+50000000*70%</f>
        <v>161336000</v>
      </c>
      <c r="N30" s="246">
        <f>M30*80%</f>
        <v>129068800</v>
      </c>
      <c r="O30" s="246">
        <v>340000000</v>
      </c>
      <c r="P30" s="246">
        <v>440000000</v>
      </c>
      <c r="Q30" s="246">
        <v>440000000</v>
      </c>
      <c r="R30" s="246">
        <v>440000000</v>
      </c>
      <c r="S30" s="840">
        <v>440000000</v>
      </c>
      <c r="T30" s="274">
        <f t="shared" si="0"/>
        <v>0</v>
      </c>
    </row>
    <row r="31" spans="1:20" ht="23.1" customHeight="1">
      <c r="A31" s="392">
        <v>22203</v>
      </c>
      <c r="B31" s="246" t="s">
        <v>127</v>
      </c>
      <c r="C31" s="292"/>
      <c r="D31" s="292"/>
      <c r="E31" s="292"/>
      <c r="F31" s="274"/>
      <c r="G31" s="274"/>
      <c r="H31" s="274"/>
      <c r="I31" s="274"/>
      <c r="J31" s="246">
        <v>38304400</v>
      </c>
      <c r="K31" s="246"/>
      <c r="L31" s="246">
        <v>7302878</v>
      </c>
      <c r="M31" s="246">
        <f>7302878*70%</f>
        <v>5112014.5999999996</v>
      </c>
      <c r="N31" s="246">
        <f>7302878*70%</f>
        <v>5112014.5999999996</v>
      </c>
      <c r="O31" s="246">
        <v>20000000</v>
      </c>
      <c r="P31" s="246">
        <v>20000000</v>
      </c>
      <c r="Q31" s="246">
        <v>20000000</v>
      </c>
      <c r="R31" s="246">
        <v>20000000</v>
      </c>
      <c r="S31" s="840">
        <v>20000000</v>
      </c>
      <c r="T31" s="274">
        <f t="shared" si="0"/>
        <v>0</v>
      </c>
    </row>
    <row r="32" spans="1:20" ht="23.1" customHeight="1">
      <c r="A32" s="392">
        <v>22204</v>
      </c>
      <c r="B32" s="246" t="s">
        <v>128</v>
      </c>
      <c r="C32" s="246"/>
      <c r="D32" s="246"/>
      <c r="E32" s="246"/>
      <c r="F32" s="246"/>
      <c r="G32" s="246"/>
      <c r="H32" s="246"/>
      <c r="I32" s="246"/>
      <c r="J32" s="246">
        <v>6017984</v>
      </c>
      <c r="K32" s="280"/>
      <c r="L32" s="246">
        <v>4375000</v>
      </c>
      <c r="M32" s="246">
        <f t="shared" ref="M32:S32" si="4">4375000*70%</f>
        <v>3062500</v>
      </c>
      <c r="N32" s="246">
        <f t="shared" si="4"/>
        <v>3062500</v>
      </c>
      <c r="O32" s="246">
        <f t="shared" si="4"/>
        <v>3062500</v>
      </c>
      <c r="P32" s="246">
        <f t="shared" si="4"/>
        <v>3062500</v>
      </c>
      <c r="Q32" s="246">
        <f t="shared" si="4"/>
        <v>3062500</v>
      </c>
      <c r="R32" s="246">
        <f t="shared" si="4"/>
        <v>3062500</v>
      </c>
      <c r="S32" s="840">
        <f t="shared" si="4"/>
        <v>3062500</v>
      </c>
      <c r="T32" s="274">
        <f t="shared" si="0"/>
        <v>0</v>
      </c>
    </row>
    <row r="33" spans="1:20" ht="23.1" customHeight="1">
      <c r="A33" s="392">
        <v>22208</v>
      </c>
      <c r="B33" s="246" t="s">
        <v>268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>
        <v>2654118829</v>
      </c>
      <c r="M33" s="246">
        <f>2654118829/3500*6000+1</f>
        <v>4549917993.5714283</v>
      </c>
      <c r="N33" s="246">
        <v>4100529400</v>
      </c>
      <c r="O33" s="246">
        <v>4261756170</v>
      </c>
      <c r="P33" s="246">
        <v>6767052090</v>
      </c>
      <c r="Q33" s="246">
        <v>6795189498</v>
      </c>
      <c r="R33" s="246">
        <v>7006389498</v>
      </c>
      <c r="S33" s="840">
        <v>7531731498</v>
      </c>
      <c r="T33" s="274">
        <f t="shared" si="0"/>
        <v>525342000</v>
      </c>
    </row>
    <row r="34" spans="1:20" ht="23.1" customHeight="1">
      <c r="A34" s="392">
        <v>22210</v>
      </c>
      <c r="B34" s="246" t="s">
        <v>270</v>
      </c>
      <c r="C34" s="246">
        <v>4000000</v>
      </c>
      <c r="D34" s="246">
        <v>2000000</v>
      </c>
      <c r="E34" s="246">
        <v>0</v>
      </c>
      <c r="F34" s="246">
        <v>0</v>
      </c>
      <c r="G34" s="246">
        <v>0</v>
      </c>
      <c r="H34" s="246">
        <v>200000000</v>
      </c>
      <c r="I34" s="246">
        <v>200000000</v>
      </c>
      <c r="J34" s="246"/>
      <c r="K34" s="246"/>
      <c r="L34" s="246">
        <v>64575156</v>
      </c>
      <c r="M34" s="246">
        <f>64575156*70%</f>
        <v>45202609.199999996</v>
      </c>
      <c r="N34" s="246">
        <f>64575156*70%</f>
        <v>45202609.199999996</v>
      </c>
      <c r="O34" s="246">
        <v>140000000</v>
      </c>
      <c r="P34" s="246">
        <v>140000000</v>
      </c>
      <c r="Q34" s="246">
        <v>140000000</v>
      </c>
      <c r="R34" s="246">
        <v>140000000</v>
      </c>
      <c r="S34" s="840">
        <v>222000000</v>
      </c>
      <c r="T34" s="274">
        <f t="shared" si="0"/>
        <v>82000000</v>
      </c>
    </row>
    <row r="35" spans="1:20" ht="23.1" customHeight="1">
      <c r="A35" s="392">
        <v>22216</v>
      </c>
      <c r="B35" s="246" t="s">
        <v>269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150000000</v>
      </c>
      <c r="I35" s="246">
        <v>150000000</v>
      </c>
      <c r="J35" s="246">
        <v>21501800</v>
      </c>
      <c r="K35" s="246"/>
      <c r="L35" s="246">
        <v>53441750</v>
      </c>
      <c r="M35" s="246">
        <f>53441750*70%</f>
        <v>37409225</v>
      </c>
      <c r="N35" s="246">
        <f>53441750*70%</f>
        <v>37409225</v>
      </c>
      <c r="O35" s="246">
        <f>53441750*70%</f>
        <v>37409225</v>
      </c>
      <c r="P35" s="246">
        <v>137409225</v>
      </c>
      <c r="Q35" s="246">
        <v>137409225</v>
      </c>
      <c r="R35" s="246">
        <v>137409225</v>
      </c>
      <c r="S35" s="840">
        <v>137409225</v>
      </c>
      <c r="T35" s="274">
        <f t="shared" si="0"/>
        <v>0</v>
      </c>
    </row>
    <row r="36" spans="1:20" ht="23.1" customHeight="1">
      <c r="A36" s="392"/>
      <c r="B36" s="280" t="s">
        <v>92</v>
      </c>
      <c r="C36" s="246">
        <v>10089000</v>
      </c>
      <c r="D36" s="246">
        <v>10004000</v>
      </c>
      <c r="E36" s="246">
        <v>20004000</v>
      </c>
      <c r="F36" s="246">
        <v>20004000</v>
      </c>
      <c r="G36" s="246">
        <v>40003200</v>
      </c>
      <c r="H36" s="246">
        <v>100000000</v>
      </c>
      <c r="I36" s="246">
        <v>100000000</v>
      </c>
      <c r="J36" s="280">
        <f>SUM(J29:J33)</f>
        <v>712241632</v>
      </c>
      <c r="K36" s="246"/>
      <c r="L36" s="280">
        <f>SUM(L29:L33)</f>
        <v>2936532707</v>
      </c>
      <c r="M36" s="280">
        <f t="shared" ref="M36:Q36" si="5">SUM(M29:M35)</f>
        <v>4953520342.3714285</v>
      </c>
      <c r="N36" s="280">
        <f t="shared" si="5"/>
        <v>4471864548.8000002</v>
      </c>
      <c r="O36" s="280">
        <f t="shared" si="5"/>
        <v>5072227895</v>
      </c>
      <c r="P36" s="280">
        <f t="shared" si="5"/>
        <v>7777523815</v>
      </c>
      <c r="Q36" s="280">
        <f t="shared" si="5"/>
        <v>7805661223</v>
      </c>
      <c r="R36" s="280">
        <f>SUM(R29:R35)</f>
        <v>8070861223</v>
      </c>
      <c r="S36" s="851">
        <f>SUM(S29:S35)</f>
        <v>8878203223</v>
      </c>
      <c r="T36" s="279">
        <f t="shared" si="0"/>
        <v>807342000</v>
      </c>
    </row>
    <row r="37" spans="1:20" ht="23.1" customHeight="1">
      <c r="A37" s="476">
        <v>2230</v>
      </c>
      <c r="B37" s="280" t="s">
        <v>130</v>
      </c>
      <c r="C37" s="246">
        <v>0</v>
      </c>
      <c r="D37" s="246">
        <v>0</v>
      </c>
      <c r="E37" s="246">
        <v>0</v>
      </c>
      <c r="F37" s="246">
        <v>0</v>
      </c>
      <c r="G37" s="246">
        <v>0</v>
      </c>
      <c r="H37" s="246">
        <v>616200000</v>
      </c>
      <c r="I37" s="246">
        <v>616200000</v>
      </c>
      <c r="J37" s="246"/>
      <c r="K37" s="246"/>
      <c r="L37" s="246"/>
      <c r="M37" s="246"/>
      <c r="N37" s="246"/>
      <c r="O37" s="246"/>
      <c r="P37" s="246"/>
      <c r="Q37" s="246"/>
      <c r="R37" s="246"/>
      <c r="S37" s="840"/>
      <c r="T37" s="274">
        <f t="shared" si="0"/>
        <v>0</v>
      </c>
    </row>
    <row r="38" spans="1:20" ht="23.1" customHeight="1">
      <c r="A38" s="392">
        <v>22301</v>
      </c>
      <c r="B38" s="246" t="s">
        <v>49</v>
      </c>
      <c r="C38" s="246">
        <v>13333000</v>
      </c>
      <c r="D38" s="246">
        <v>5000000</v>
      </c>
      <c r="E38" s="246">
        <v>0</v>
      </c>
      <c r="F38" s="246">
        <v>0</v>
      </c>
      <c r="G38" s="246">
        <v>0</v>
      </c>
      <c r="H38" s="246">
        <v>100000000</v>
      </c>
      <c r="I38" s="246">
        <v>70000000</v>
      </c>
      <c r="J38" s="246">
        <v>59340500</v>
      </c>
      <c r="K38" s="280"/>
      <c r="L38" s="246">
        <v>82000000</v>
      </c>
      <c r="M38" s="246">
        <f>82000000*70%</f>
        <v>57400000</v>
      </c>
      <c r="N38" s="246">
        <f>82000000*70%</f>
        <v>57400000</v>
      </c>
      <c r="O38" s="246">
        <v>150000000</v>
      </c>
      <c r="P38" s="246">
        <v>250000000</v>
      </c>
      <c r="Q38" s="246">
        <v>250000000</v>
      </c>
      <c r="R38" s="246">
        <v>250000000</v>
      </c>
      <c r="S38" s="840">
        <v>390000000</v>
      </c>
      <c r="T38" s="274">
        <f t="shared" si="0"/>
        <v>140000000</v>
      </c>
    </row>
    <row r="39" spans="1:20" ht="23.1" customHeight="1">
      <c r="A39" s="392">
        <v>22302</v>
      </c>
      <c r="B39" s="246" t="s">
        <v>249</v>
      </c>
      <c r="C39" s="246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4424000</v>
      </c>
      <c r="K39" s="246"/>
      <c r="L39" s="246">
        <v>4875000</v>
      </c>
      <c r="M39" s="246">
        <f t="shared" ref="M39:R39" si="6">4875000*70%</f>
        <v>3412500</v>
      </c>
      <c r="N39" s="246">
        <f t="shared" si="6"/>
        <v>3412500</v>
      </c>
      <c r="O39" s="246">
        <f t="shared" si="6"/>
        <v>3412500</v>
      </c>
      <c r="P39" s="246">
        <f t="shared" si="6"/>
        <v>3412500</v>
      </c>
      <c r="Q39" s="246">
        <f t="shared" si="6"/>
        <v>3412500</v>
      </c>
      <c r="R39" s="246">
        <f t="shared" si="6"/>
        <v>3412500</v>
      </c>
      <c r="S39" s="840">
        <v>8000000</v>
      </c>
      <c r="T39" s="274">
        <f t="shared" si="0"/>
        <v>4587500</v>
      </c>
    </row>
    <row r="40" spans="1:20" ht="23.1" customHeight="1">
      <c r="A40" s="392">
        <v>22313</v>
      </c>
      <c r="B40" s="246" t="s">
        <v>251</v>
      </c>
      <c r="C40" s="280">
        <f t="shared" ref="C40:I40" si="7">SUM(C38:C39)</f>
        <v>13333000</v>
      </c>
      <c r="D40" s="280">
        <f t="shared" si="7"/>
        <v>5000000</v>
      </c>
      <c r="E40" s="280">
        <f t="shared" si="7"/>
        <v>0</v>
      </c>
      <c r="F40" s="280">
        <f t="shared" si="7"/>
        <v>0</v>
      </c>
      <c r="G40" s="280">
        <f t="shared" si="7"/>
        <v>0</v>
      </c>
      <c r="H40" s="280">
        <f t="shared" si="7"/>
        <v>100000000</v>
      </c>
      <c r="I40" s="280">
        <f t="shared" si="7"/>
        <v>70000000</v>
      </c>
      <c r="J40" s="246"/>
      <c r="K40" s="246"/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246">
        <v>0</v>
      </c>
      <c r="S40" s="840">
        <v>0</v>
      </c>
      <c r="T40" s="274">
        <f t="shared" si="0"/>
        <v>0</v>
      </c>
    </row>
    <row r="41" spans="1:20" ht="23.1" customHeight="1">
      <c r="A41" s="392"/>
      <c r="B41" s="280" t="s">
        <v>92</v>
      </c>
      <c r="C41" s="280" t="e">
        <f>C40+#REF!+C32+C22+#REF!</f>
        <v>#REF!</v>
      </c>
      <c r="D41" s="280" t="e">
        <f>D40+#REF!+D32+D22+#REF!</f>
        <v>#REF!</v>
      </c>
      <c r="E41" s="280" t="e">
        <f>E40+#REF!+E32+E22+#REF!</f>
        <v>#REF!</v>
      </c>
      <c r="F41" s="280" t="e">
        <f>F40+#REF!+F32+F22+#REF!</f>
        <v>#REF!</v>
      </c>
      <c r="G41" s="280" t="e">
        <f>G40+#REF!+G22+G32+#REF!</f>
        <v>#REF!</v>
      </c>
      <c r="H41" s="280" t="e">
        <f>H40+#REF!+H32+H22+#REF!</f>
        <v>#REF!</v>
      </c>
      <c r="I41" s="280" t="e">
        <f>I40+#REF!+I32+I22+#REF!</f>
        <v>#REF!</v>
      </c>
      <c r="J41" s="280">
        <f>SUM(J38:J40)</f>
        <v>63764500</v>
      </c>
      <c r="K41" s="280"/>
      <c r="L41" s="280">
        <f t="shared" ref="L41:P41" si="8">SUM(L38:L40)</f>
        <v>86875000</v>
      </c>
      <c r="M41" s="280">
        <f t="shared" si="8"/>
        <v>60812500</v>
      </c>
      <c r="N41" s="280">
        <f t="shared" si="8"/>
        <v>60812500</v>
      </c>
      <c r="O41" s="280">
        <f t="shared" si="8"/>
        <v>153412500</v>
      </c>
      <c r="P41" s="280">
        <f t="shared" si="8"/>
        <v>253412500</v>
      </c>
      <c r="Q41" s="280">
        <f>SUM(Q38:Q40)</f>
        <v>253412500</v>
      </c>
      <c r="R41" s="280">
        <f>SUM(R38:R40)</f>
        <v>253412500</v>
      </c>
      <c r="S41" s="851">
        <f>SUM(S38:S40)</f>
        <v>398000000</v>
      </c>
      <c r="T41" s="279">
        <f t="shared" si="0"/>
        <v>144587500</v>
      </c>
    </row>
    <row r="42" spans="1:20" ht="23.1" customHeight="1">
      <c r="A42" s="476">
        <v>270</v>
      </c>
      <c r="B42" s="280" t="s">
        <v>253</v>
      </c>
      <c r="C42" s="246"/>
      <c r="D42" s="246"/>
      <c r="E42" s="246"/>
      <c r="F42" s="246"/>
      <c r="G42" s="246"/>
      <c r="H42" s="246"/>
      <c r="I42" s="246"/>
      <c r="J42" s="246"/>
      <c r="K42" s="280"/>
      <c r="L42" s="246"/>
      <c r="M42" s="246"/>
      <c r="N42" s="246"/>
      <c r="O42" s="246"/>
      <c r="P42" s="246"/>
      <c r="Q42" s="246"/>
      <c r="R42" s="246"/>
      <c r="S42" s="840"/>
      <c r="T42" s="274">
        <f t="shared" si="0"/>
        <v>0</v>
      </c>
    </row>
    <row r="43" spans="1:20" ht="23.1" customHeight="1">
      <c r="A43" s="476">
        <v>2710</v>
      </c>
      <c r="B43" s="280" t="s">
        <v>252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840"/>
      <c r="T43" s="274">
        <f t="shared" si="0"/>
        <v>0</v>
      </c>
    </row>
    <row r="44" spans="1:20" ht="23.1" customHeight="1">
      <c r="A44" s="392">
        <v>27601</v>
      </c>
      <c r="B44" s="246" t="s">
        <v>264</v>
      </c>
      <c r="C44" s="246"/>
      <c r="D44" s="246"/>
      <c r="E44" s="246"/>
      <c r="F44" s="246"/>
      <c r="G44" s="246"/>
      <c r="H44" s="246"/>
      <c r="I44" s="246"/>
      <c r="J44" s="246">
        <v>7480000</v>
      </c>
      <c r="K44" s="246"/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840">
        <v>0</v>
      </c>
      <c r="T44" s="274">
        <f t="shared" si="0"/>
        <v>0</v>
      </c>
    </row>
    <row r="45" spans="1:20" ht="23.1" customHeight="1">
      <c r="A45" s="392">
        <v>27402</v>
      </c>
      <c r="B45" s="246" t="s">
        <v>265</v>
      </c>
      <c r="C45" s="246"/>
      <c r="D45" s="246"/>
      <c r="E45" s="246"/>
      <c r="F45" s="246"/>
      <c r="G45" s="246"/>
      <c r="H45" s="246"/>
      <c r="I45" s="246"/>
      <c r="J45" s="246">
        <v>524149920</v>
      </c>
      <c r="K45" s="246"/>
      <c r="L45" s="246">
        <v>0</v>
      </c>
      <c r="M45" s="246">
        <v>0</v>
      </c>
      <c r="N45" s="246">
        <v>0</v>
      </c>
      <c r="O45" s="246">
        <v>630000000</v>
      </c>
      <c r="P45" s="246">
        <v>1561000000</v>
      </c>
      <c r="Q45" s="246">
        <v>100000000</v>
      </c>
      <c r="R45" s="246">
        <v>300000000</v>
      </c>
      <c r="S45" s="840">
        <v>0</v>
      </c>
      <c r="T45" s="274">
        <f t="shared" si="0"/>
        <v>-300000000</v>
      </c>
    </row>
    <row r="46" spans="1:20" ht="23.1" customHeight="1">
      <c r="A46" s="392">
        <v>27502</v>
      </c>
      <c r="B46" s="246" t="s">
        <v>148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>
        <v>0</v>
      </c>
      <c r="M46" s="246">
        <v>0</v>
      </c>
      <c r="N46" s="246">
        <v>0</v>
      </c>
      <c r="O46" s="246">
        <v>0</v>
      </c>
      <c r="P46" s="246">
        <v>0</v>
      </c>
      <c r="Q46" s="246">
        <v>0</v>
      </c>
      <c r="R46" s="246">
        <v>0</v>
      </c>
      <c r="S46" s="840">
        <v>0</v>
      </c>
      <c r="T46" s="274">
        <f t="shared" si="0"/>
        <v>0</v>
      </c>
    </row>
    <row r="47" spans="1:20" ht="23.1" customHeight="1">
      <c r="A47" s="392">
        <v>27604</v>
      </c>
      <c r="B47" s="246" t="s">
        <v>1203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>
        <v>12249998</v>
      </c>
      <c r="M47" s="246">
        <f>29789998*70%</f>
        <v>20852998.599999998</v>
      </c>
      <c r="N47" s="246">
        <v>0</v>
      </c>
      <c r="O47" s="246">
        <v>0</v>
      </c>
      <c r="P47" s="246">
        <v>0</v>
      </c>
      <c r="Q47" s="246">
        <v>0</v>
      </c>
      <c r="R47" s="246">
        <v>148000000</v>
      </c>
      <c r="S47" s="840">
        <v>148000000</v>
      </c>
      <c r="T47" s="274">
        <f t="shared" si="0"/>
        <v>0</v>
      </c>
    </row>
    <row r="48" spans="1:20" s="686" customFormat="1" ht="23.1" customHeight="1">
      <c r="A48" s="683">
        <v>27608</v>
      </c>
      <c r="B48" s="288" t="s">
        <v>979</v>
      </c>
      <c r="C48" s="288"/>
      <c r="D48" s="288"/>
      <c r="E48" s="288">
        <v>70000000</v>
      </c>
      <c r="F48" s="288"/>
      <c r="G48" s="684"/>
      <c r="H48" s="684"/>
      <c r="I48" s="684"/>
      <c r="J48" s="684"/>
      <c r="K48" s="684"/>
      <c r="L48" s="684"/>
      <c r="M48" s="684"/>
      <c r="N48" s="685">
        <v>0</v>
      </c>
      <c r="O48" s="287">
        <v>70000000</v>
      </c>
      <c r="P48" s="287">
        <v>1526000000</v>
      </c>
      <c r="Q48" s="287">
        <v>70000000</v>
      </c>
      <c r="R48" s="287">
        <f>Q48</f>
        <v>70000000</v>
      </c>
      <c r="S48" s="854">
        <f>R48</f>
        <v>70000000</v>
      </c>
      <c r="T48" s="274">
        <f t="shared" si="0"/>
        <v>0</v>
      </c>
    </row>
    <row r="49" spans="1:20" ht="23.1" customHeight="1">
      <c r="A49" s="392"/>
      <c r="B49" s="280" t="s">
        <v>92</v>
      </c>
      <c r="C49" s="246"/>
      <c r="D49" s="246"/>
      <c r="E49" s="246"/>
      <c r="F49" s="246"/>
      <c r="G49" s="246"/>
      <c r="H49" s="246"/>
      <c r="I49" s="246"/>
      <c r="J49" s="280">
        <f>SUM(J44:J47)</f>
        <v>531629920</v>
      </c>
      <c r="K49" s="246"/>
      <c r="L49" s="280">
        <f>SUM(L44:L47)</f>
        <v>12249998</v>
      </c>
      <c r="M49" s="280">
        <f>SUM(M44:M47)</f>
        <v>20852998.599999998</v>
      </c>
      <c r="N49" s="280">
        <f t="shared" ref="N49:S49" si="9">SUM(N44:N48)</f>
        <v>0</v>
      </c>
      <c r="O49" s="280">
        <f t="shared" si="9"/>
        <v>700000000</v>
      </c>
      <c r="P49" s="280">
        <f t="shared" si="9"/>
        <v>3087000000</v>
      </c>
      <c r="Q49" s="280">
        <f t="shared" si="9"/>
        <v>170000000</v>
      </c>
      <c r="R49" s="280">
        <f t="shared" si="9"/>
        <v>518000000</v>
      </c>
      <c r="S49" s="851">
        <f t="shared" si="9"/>
        <v>218000000</v>
      </c>
      <c r="T49" s="279">
        <f t="shared" si="0"/>
        <v>-300000000</v>
      </c>
    </row>
    <row r="50" spans="1:20" ht="23.1" customHeight="1">
      <c r="A50" s="476">
        <v>2720</v>
      </c>
      <c r="B50" s="280" t="s">
        <v>502</v>
      </c>
      <c r="C50" s="246"/>
      <c r="D50" s="246"/>
      <c r="E50" s="246"/>
      <c r="F50" s="246"/>
      <c r="G50" s="246"/>
      <c r="H50" s="246"/>
      <c r="I50" s="246"/>
      <c r="J50" s="280"/>
      <c r="K50" s="246"/>
      <c r="L50" s="280"/>
      <c r="M50" s="280"/>
      <c r="N50" s="280"/>
      <c r="O50" s="280"/>
      <c r="P50" s="280"/>
      <c r="Q50" s="280"/>
      <c r="R50" s="280"/>
      <c r="S50" s="851"/>
      <c r="T50" s="274">
        <f t="shared" si="0"/>
        <v>0</v>
      </c>
    </row>
    <row r="51" spans="1:20" ht="23.1" customHeight="1">
      <c r="A51" s="392">
        <v>27202</v>
      </c>
      <c r="B51" s="246" t="s">
        <v>1051</v>
      </c>
      <c r="C51" s="246"/>
      <c r="D51" s="246"/>
      <c r="E51" s="246"/>
      <c r="F51" s="246"/>
      <c r="G51" s="246"/>
      <c r="H51" s="246"/>
      <c r="I51" s="246"/>
      <c r="J51" s="280"/>
      <c r="K51" s="246"/>
      <c r="L51" s="280"/>
      <c r="M51" s="280"/>
      <c r="N51" s="280"/>
      <c r="O51" s="280"/>
      <c r="P51" s="280"/>
      <c r="Q51" s="246">
        <v>800000000</v>
      </c>
      <c r="R51" s="246">
        <v>200000000</v>
      </c>
      <c r="S51" s="840">
        <v>0</v>
      </c>
      <c r="T51" s="274">
        <f t="shared" si="0"/>
        <v>-200000000</v>
      </c>
    </row>
    <row r="52" spans="1:20" ht="23.1" customHeight="1">
      <c r="A52" s="392"/>
      <c r="B52" s="280" t="s">
        <v>92</v>
      </c>
      <c r="C52" s="246"/>
      <c r="D52" s="246"/>
      <c r="E52" s="246"/>
      <c r="F52" s="246"/>
      <c r="G52" s="246"/>
      <c r="H52" s="246"/>
      <c r="I52" s="246"/>
      <c r="J52" s="280"/>
      <c r="K52" s="246"/>
      <c r="L52" s="280"/>
      <c r="M52" s="280"/>
      <c r="N52" s="280"/>
      <c r="O52" s="280"/>
      <c r="P52" s="280"/>
      <c r="Q52" s="280">
        <f>SUM(Q51)</f>
        <v>800000000</v>
      </c>
      <c r="R52" s="280">
        <f>SUM(R51)</f>
        <v>200000000</v>
      </c>
      <c r="S52" s="851">
        <f>SUM(S51)</f>
        <v>0</v>
      </c>
      <c r="T52" s="279">
        <f t="shared" si="0"/>
        <v>-200000000</v>
      </c>
    </row>
    <row r="53" spans="1:20" ht="23.1" customHeight="1">
      <c r="A53" s="392"/>
      <c r="B53" s="280" t="s">
        <v>37</v>
      </c>
      <c r="C53" s="246"/>
      <c r="D53" s="246"/>
      <c r="E53" s="246"/>
      <c r="F53" s="246"/>
      <c r="G53" s="246"/>
      <c r="H53" s="246"/>
      <c r="I53" s="246"/>
      <c r="J53" s="280">
        <f>J13+J27+J36+J41+J49</f>
        <v>3421219842</v>
      </c>
      <c r="K53" s="246"/>
      <c r="L53" s="280">
        <f>L49+L41+L36+L27+L13</f>
        <v>4190120408</v>
      </c>
      <c r="M53" s="280">
        <f>M49+M41+M36+M27+M13</f>
        <v>7378682713.0714293</v>
      </c>
      <c r="N53" s="280">
        <f>N49+N41+N36+N27+N13</f>
        <v>6889063246.6999998</v>
      </c>
      <c r="O53" s="280">
        <f>O49+O41+O36+O27+O13</f>
        <v>8933577194</v>
      </c>
      <c r="P53" s="280">
        <f>P49+P41+P36+P27+P13</f>
        <v>16724220874</v>
      </c>
      <c r="Q53" s="280">
        <f>Q52+Q49+Q41+Q36+Q27+Q13+Q9</f>
        <v>15352321802</v>
      </c>
      <c r="R53" s="280">
        <f>R52+R49+R41+R36+R27+R13+R9</f>
        <v>16830649043</v>
      </c>
      <c r="S53" s="851">
        <f>S52+S49+S41+S36+S27+S13+S9</f>
        <v>18729991791</v>
      </c>
      <c r="T53" s="279">
        <f t="shared" si="0"/>
        <v>1899342748</v>
      </c>
    </row>
    <row r="56" spans="1:20" ht="23.1" customHeight="1">
      <c r="N56" s="675" t="s">
        <v>470</v>
      </c>
      <c r="O56" s="675"/>
      <c r="P56" s="675"/>
      <c r="Q56" s="675"/>
      <c r="R56" s="675"/>
      <c r="S56" s="675"/>
    </row>
  </sheetData>
  <phoneticPr fontId="0" type="noConversion"/>
  <pageMargins left="0.55000000000000004" right="0.47" top="1.0900000000000001" bottom="0.6" header="0.4" footer="0.23"/>
  <pageSetup scale="55" orientation="portrait" r:id="rId1"/>
  <headerFooter alignWithMargins="0">
    <oddHeader>&amp;C&amp;"Algerian,Bold"&amp;36CIIDANKA ILAALADA MADAXTOOYADA</oddHeader>
    <oddFooter>&amp;R&amp;"Times New Roman,Bold"&amp;18 10</oddFooter>
  </headerFooter>
  <ignoredErrors>
    <ignoredError sqref="L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31" zoomScale="60" workbookViewId="0">
      <selection activeCell="I48" sqref="I48"/>
    </sheetView>
  </sheetViews>
  <sheetFormatPr defaultRowHeight="27.95" customHeight="1"/>
  <cols>
    <col min="1" max="1" width="17.5" style="686" bestFit="1" customWidth="1"/>
    <col min="2" max="2" width="93" style="686" customWidth="1"/>
    <col min="3" max="3" width="27.83203125" style="686" hidden="1" customWidth="1"/>
    <col min="4" max="4" width="24.5" style="686" hidden="1" customWidth="1"/>
    <col min="5" max="5" width="0.1640625" style="686" hidden="1" customWidth="1"/>
    <col min="6" max="6" width="24.33203125" style="686" hidden="1" customWidth="1"/>
    <col min="7" max="7" width="24.5" style="686" hidden="1" customWidth="1"/>
    <col min="8" max="9" width="26.83203125" style="686" customWidth="1"/>
    <col min="10" max="10" width="28.83203125" style="686" bestFit="1" customWidth="1"/>
    <col min="11" max="16384" width="9.33203125" style="686"/>
  </cols>
  <sheetData>
    <row r="1" spans="1:10" s="689" customFormat="1" ht="27.95" customHeight="1">
      <c r="A1" s="687" t="s">
        <v>39</v>
      </c>
      <c r="B1" s="289" t="s">
        <v>991</v>
      </c>
      <c r="C1" s="289"/>
      <c r="D1" s="288"/>
      <c r="E1" s="288"/>
      <c r="F1" s="288"/>
      <c r="G1" s="288"/>
      <c r="H1" s="288"/>
      <c r="I1" s="288"/>
      <c r="J1" s="688"/>
    </row>
    <row r="2" spans="1:10" s="689" customFormat="1" ht="27.95" customHeight="1">
      <c r="A2" s="690">
        <v>210</v>
      </c>
      <c r="B2" s="289" t="s">
        <v>137</v>
      </c>
      <c r="C2" s="289" t="s">
        <v>453</v>
      </c>
      <c r="D2" s="289" t="s">
        <v>451</v>
      </c>
      <c r="E2" s="289" t="s">
        <v>813</v>
      </c>
      <c r="F2" s="289" t="s">
        <v>871</v>
      </c>
      <c r="G2" s="289" t="s">
        <v>974</v>
      </c>
      <c r="H2" s="289" t="s">
        <v>1161</v>
      </c>
      <c r="I2" s="289" t="s">
        <v>1321</v>
      </c>
      <c r="J2" s="691" t="s">
        <v>56</v>
      </c>
    </row>
    <row r="3" spans="1:10" s="689" customFormat="1" ht="27.95" customHeight="1">
      <c r="A3" s="690">
        <v>2110</v>
      </c>
      <c r="B3" s="289" t="s">
        <v>213</v>
      </c>
      <c r="C3" s="289"/>
      <c r="D3" s="288"/>
      <c r="E3" s="288"/>
      <c r="F3" s="288"/>
      <c r="G3" s="288"/>
      <c r="H3" s="288"/>
      <c r="I3" s="288"/>
      <c r="J3" s="547"/>
    </row>
    <row r="4" spans="1:10" ht="27.95" customHeight="1">
      <c r="A4" s="683">
        <v>21101</v>
      </c>
      <c r="B4" s="288" t="s">
        <v>371</v>
      </c>
      <c r="C4" s="288">
        <v>0</v>
      </c>
      <c r="D4" s="288"/>
      <c r="E4" s="288">
        <v>93381600</v>
      </c>
      <c r="F4" s="288">
        <v>146427840</v>
      </c>
      <c r="G4" s="288">
        <v>121979520</v>
      </c>
      <c r="H4" s="288">
        <v>232764480</v>
      </c>
      <c r="I4" s="288">
        <v>434161728</v>
      </c>
      <c r="J4" s="575">
        <f>I4-H4</f>
        <v>201397248</v>
      </c>
    </row>
    <row r="5" spans="1:10" ht="27.95" customHeight="1">
      <c r="A5" s="683">
        <v>21102</v>
      </c>
      <c r="B5" s="288" t="s">
        <v>370</v>
      </c>
      <c r="C5" s="288">
        <v>0</v>
      </c>
      <c r="D5" s="288">
        <v>92836800</v>
      </c>
      <c r="E5" s="288">
        <v>30000000</v>
      </c>
      <c r="F5" s="288">
        <v>60000000</v>
      </c>
      <c r="G5" s="288">
        <v>60000000</v>
      </c>
      <c r="H5" s="288">
        <v>60000000</v>
      </c>
      <c r="I5" s="288">
        <v>60000000</v>
      </c>
      <c r="J5" s="575">
        <f t="shared" ref="J5:J48" si="0">I5-H5</f>
        <v>0</v>
      </c>
    </row>
    <row r="6" spans="1:10" ht="27.95" customHeight="1">
      <c r="A6" s="683">
        <v>21103</v>
      </c>
      <c r="B6" s="288" t="s">
        <v>809</v>
      </c>
      <c r="C6" s="288">
        <v>0</v>
      </c>
      <c r="D6" s="288">
        <v>18000000</v>
      </c>
      <c r="E6" s="288">
        <v>75600000</v>
      </c>
      <c r="F6" s="288">
        <v>144000000</v>
      </c>
      <c r="G6" s="288">
        <v>144000000</v>
      </c>
      <c r="H6" s="747">
        <v>282000000</v>
      </c>
      <c r="I6" s="855">
        <v>120000000</v>
      </c>
      <c r="J6" s="575">
        <f t="shared" si="0"/>
        <v>-162000000</v>
      </c>
    </row>
    <row r="7" spans="1:10" ht="27.95" customHeight="1">
      <c r="A7" s="683">
        <v>21105</v>
      </c>
      <c r="B7" s="288" t="s">
        <v>876</v>
      </c>
      <c r="C7" s="288"/>
      <c r="D7" s="288"/>
      <c r="E7" s="288"/>
      <c r="F7" s="288"/>
      <c r="G7" s="288"/>
      <c r="H7" s="747"/>
      <c r="I7" s="855">
        <v>675600000</v>
      </c>
      <c r="J7" s="575">
        <f t="shared" si="0"/>
        <v>675600000</v>
      </c>
    </row>
    <row r="8" spans="1:10" ht="27.95" customHeight="1">
      <c r="A8" s="683"/>
      <c r="B8" s="289" t="s">
        <v>92</v>
      </c>
      <c r="C8" s="288">
        <v>0</v>
      </c>
      <c r="D8" s="289">
        <f>SUM(D5:D6)</f>
        <v>110836800</v>
      </c>
      <c r="E8" s="289">
        <f>SUM(E4:E6)</f>
        <v>198981600</v>
      </c>
      <c r="F8" s="289">
        <f>SUM(F4:F6)</f>
        <v>350427840</v>
      </c>
      <c r="G8" s="289">
        <f>SUM(G4:G6)</f>
        <v>325979520</v>
      </c>
      <c r="H8" s="289">
        <f>SUM(H4:H6)</f>
        <v>574764480</v>
      </c>
      <c r="I8" s="856">
        <f>SUM(I4:I7)</f>
        <v>1289761728</v>
      </c>
      <c r="J8" s="576">
        <f t="shared" si="0"/>
        <v>714997248</v>
      </c>
    </row>
    <row r="9" spans="1:10" ht="27.95" customHeight="1">
      <c r="A9" s="690">
        <v>220</v>
      </c>
      <c r="B9" s="289" t="s">
        <v>225</v>
      </c>
      <c r="C9" s="288">
        <v>0</v>
      </c>
      <c r="D9" s="288"/>
      <c r="E9" s="288"/>
      <c r="F9" s="288"/>
      <c r="G9" s="288"/>
      <c r="H9" s="288"/>
      <c r="I9" s="857"/>
      <c r="J9" s="575">
        <f t="shared" si="0"/>
        <v>0</v>
      </c>
    </row>
    <row r="10" spans="1:10" ht="27.95" customHeight="1">
      <c r="A10" s="690">
        <v>2210</v>
      </c>
      <c r="B10" s="289" t="s">
        <v>226</v>
      </c>
      <c r="C10" s="288">
        <v>0</v>
      </c>
      <c r="D10" s="288"/>
      <c r="E10" s="288"/>
      <c r="F10" s="288"/>
      <c r="G10" s="288"/>
      <c r="H10" s="288"/>
      <c r="I10" s="857"/>
      <c r="J10" s="575">
        <f t="shared" si="0"/>
        <v>0</v>
      </c>
    </row>
    <row r="11" spans="1:10" ht="27.95" customHeight="1">
      <c r="A11" s="683">
        <v>22101</v>
      </c>
      <c r="B11" s="288" t="s">
        <v>33</v>
      </c>
      <c r="C11" s="288">
        <v>0</v>
      </c>
      <c r="D11" s="288">
        <v>0</v>
      </c>
      <c r="E11" s="288">
        <v>0</v>
      </c>
      <c r="F11" s="288">
        <v>10000000</v>
      </c>
      <c r="G11" s="288">
        <v>10000000</v>
      </c>
      <c r="H11" s="288">
        <v>10000000</v>
      </c>
      <c r="I11" s="857">
        <v>10000000</v>
      </c>
      <c r="J11" s="575">
        <f t="shared" si="0"/>
        <v>0</v>
      </c>
    </row>
    <row r="12" spans="1:10" ht="27.95" customHeight="1">
      <c r="A12" s="683">
        <v>22102</v>
      </c>
      <c r="B12" s="288" t="s">
        <v>124</v>
      </c>
      <c r="C12" s="288">
        <v>0</v>
      </c>
      <c r="D12" s="288"/>
      <c r="E12" s="288"/>
      <c r="F12" s="288"/>
      <c r="G12" s="288"/>
      <c r="H12" s="288"/>
      <c r="I12" s="857"/>
      <c r="J12" s="575">
        <f t="shared" si="0"/>
        <v>0</v>
      </c>
    </row>
    <row r="13" spans="1:10" ht="27.95" customHeight="1">
      <c r="A13" s="683">
        <v>22103</v>
      </c>
      <c r="B13" s="288" t="s">
        <v>125</v>
      </c>
      <c r="C13" s="288">
        <v>0</v>
      </c>
      <c r="D13" s="288"/>
      <c r="E13" s="288"/>
      <c r="F13" s="288"/>
      <c r="G13" s="288"/>
      <c r="H13" s="288"/>
      <c r="I13" s="857"/>
      <c r="J13" s="575">
        <f t="shared" si="0"/>
        <v>0</v>
      </c>
    </row>
    <row r="14" spans="1:10" ht="27.95" customHeight="1">
      <c r="A14" s="683">
        <v>22104</v>
      </c>
      <c r="B14" s="692" t="s">
        <v>157</v>
      </c>
      <c r="C14" s="288">
        <v>0</v>
      </c>
      <c r="D14" s="288">
        <v>8750000</v>
      </c>
      <c r="E14" s="288">
        <v>13750000</v>
      </c>
      <c r="F14" s="288">
        <v>13750000</v>
      </c>
      <c r="G14" s="288">
        <v>13750000</v>
      </c>
      <c r="H14" s="288">
        <v>13750000</v>
      </c>
      <c r="I14" s="857">
        <v>13750000</v>
      </c>
      <c r="J14" s="575">
        <f t="shared" si="0"/>
        <v>0</v>
      </c>
    </row>
    <row r="15" spans="1:10" ht="27.95" customHeight="1">
      <c r="A15" s="683">
        <v>22105</v>
      </c>
      <c r="B15" s="288" t="s">
        <v>499</v>
      </c>
      <c r="C15" s="288">
        <v>0</v>
      </c>
      <c r="D15" s="288">
        <v>36000000</v>
      </c>
      <c r="E15" s="288">
        <v>50400000</v>
      </c>
      <c r="F15" s="288">
        <v>50400000</v>
      </c>
      <c r="G15" s="288">
        <v>50400000</v>
      </c>
      <c r="H15" s="288">
        <v>76000000</v>
      </c>
      <c r="I15" s="857">
        <v>76000000</v>
      </c>
      <c r="J15" s="575">
        <f t="shared" si="0"/>
        <v>0</v>
      </c>
    </row>
    <row r="16" spans="1:10" ht="27.95" customHeight="1">
      <c r="A16" s="683">
        <v>22106</v>
      </c>
      <c r="B16" s="288" t="s">
        <v>126</v>
      </c>
      <c r="C16" s="288">
        <v>0</v>
      </c>
      <c r="D16" s="288"/>
      <c r="E16" s="288">
        <v>0</v>
      </c>
      <c r="F16" s="288">
        <v>0</v>
      </c>
      <c r="G16" s="288">
        <v>0</v>
      </c>
      <c r="H16" s="288">
        <v>0</v>
      </c>
      <c r="I16" s="857">
        <v>0</v>
      </c>
      <c r="J16" s="575">
        <f t="shared" si="0"/>
        <v>0</v>
      </c>
    </row>
    <row r="17" spans="1:10" ht="27.95" customHeight="1">
      <c r="A17" s="683">
        <v>22107</v>
      </c>
      <c r="B17" s="288" t="s">
        <v>48</v>
      </c>
      <c r="C17" s="288">
        <v>0</v>
      </c>
      <c r="D17" s="288"/>
      <c r="E17" s="288"/>
      <c r="F17" s="288"/>
      <c r="G17" s="288"/>
      <c r="H17" s="288"/>
      <c r="I17" s="857"/>
      <c r="J17" s="575">
        <f t="shared" si="0"/>
        <v>0</v>
      </c>
    </row>
    <row r="18" spans="1:10" ht="27.95" customHeight="1">
      <c r="A18" s="683">
        <v>22108</v>
      </c>
      <c r="B18" s="288" t="s">
        <v>93</v>
      </c>
      <c r="C18" s="288">
        <v>0</v>
      </c>
      <c r="D18" s="288"/>
      <c r="E18" s="288"/>
      <c r="F18" s="288"/>
      <c r="G18" s="288"/>
      <c r="H18" s="288"/>
      <c r="I18" s="857"/>
      <c r="J18" s="575">
        <f t="shared" si="0"/>
        <v>0</v>
      </c>
    </row>
    <row r="19" spans="1:10" ht="27.95" customHeight="1">
      <c r="A19" s="683">
        <v>22109</v>
      </c>
      <c r="B19" s="288" t="s">
        <v>136</v>
      </c>
      <c r="C19" s="288">
        <v>0</v>
      </c>
      <c r="D19" s="288">
        <v>5000000</v>
      </c>
      <c r="E19" s="288">
        <v>5000000</v>
      </c>
      <c r="F19" s="288">
        <v>5000000</v>
      </c>
      <c r="G19" s="288">
        <v>5000000</v>
      </c>
      <c r="H19" s="288">
        <v>5000000</v>
      </c>
      <c r="I19" s="857">
        <v>5000000</v>
      </c>
      <c r="J19" s="575">
        <f t="shared" si="0"/>
        <v>0</v>
      </c>
    </row>
    <row r="20" spans="1:10" ht="27.95" customHeight="1">
      <c r="A20" s="683">
        <v>22112</v>
      </c>
      <c r="B20" s="288" t="s">
        <v>35</v>
      </c>
      <c r="C20" s="288">
        <v>0</v>
      </c>
      <c r="D20" s="288">
        <v>15000000</v>
      </c>
      <c r="E20" s="288">
        <v>15000000</v>
      </c>
      <c r="F20" s="288">
        <v>15000000</v>
      </c>
      <c r="G20" s="288">
        <v>15000000</v>
      </c>
      <c r="H20" s="288">
        <v>15000000</v>
      </c>
      <c r="I20" s="857">
        <v>15000000</v>
      </c>
      <c r="J20" s="575">
        <f t="shared" si="0"/>
        <v>0</v>
      </c>
    </row>
    <row r="21" spans="1:10" ht="27.95" customHeight="1">
      <c r="A21" s="683">
        <v>22114</v>
      </c>
      <c r="B21" s="288" t="s">
        <v>452</v>
      </c>
      <c r="C21" s="288">
        <v>0</v>
      </c>
      <c r="D21" s="288">
        <v>30000000</v>
      </c>
      <c r="E21" s="288">
        <v>30000000</v>
      </c>
      <c r="F21" s="288">
        <v>30000000</v>
      </c>
      <c r="G21" s="288">
        <v>30000000</v>
      </c>
      <c r="H21" s="288">
        <v>30000000</v>
      </c>
      <c r="I21" s="857">
        <v>30000000</v>
      </c>
      <c r="J21" s="575">
        <f t="shared" si="0"/>
        <v>0</v>
      </c>
    </row>
    <row r="22" spans="1:10" ht="27.95" customHeight="1">
      <c r="A22" s="683">
        <v>22130</v>
      </c>
      <c r="B22" s="288" t="s">
        <v>1231</v>
      </c>
      <c r="C22" s="288"/>
      <c r="D22" s="288"/>
      <c r="E22" s="288"/>
      <c r="F22" s="288"/>
      <c r="G22" s="288">
        <v>0</v>
      </c>
      <c r="H22" s="288">
        <v>0</v>
      </c>
      <c r="I22" s="857">
        <v>0</v>
      </c>
      <c r="J22" s="575">
        <f t="shared" si="0"/>
        <v>0</v>
      </c>
    </row>
    <row r="23" spans="1:10" ht="27.95" customHeight="1">
      <c r="A23" s="683">
        <v>22132</v>
      </c>
      <c r="B23" s="288" t="s">
        <v>1330</v>
      </c>
      <c r="C23" s="288"/>
      <c r="D23" s="288"/>
      <c r="E23" s="288"/>
      <c r="F23" s="288"/>
      <c r="G23" s="288"/>
      <c r="H23" s="288"/>
      <c r="I23" s="857">
        <v>80000000</v>
      </c>
      <c r="J23" s="575">
        <f t="shared" si="0"/>
        <v>80000000</v>
      </c>
    </row>
    <row r="24" spans="1:10" ht="27.95" customHeight="1">
      <c r="A24" s="683">
        <v>22137</v>
      </c>
      <c r="B24" s="288" t="s">
        <v>986</v>
      </c>
      <c r="C24" s="288"/>
      <c r="D24" s="288"/>
      <c r="E24" s="288"/>
      <c r="F24" s="288"/>
      <c r="G24" s="288">
        <v>50000000</v>
      </c>
      <c r="H24" s="288">
        <v>50000000</v>
      </c>
      <c r="I24" s="857">
        <v>50000000</v>
      </c>
      <c r="J24" s="575">
        <f t="shared" si="0"/>
        <v>0</v>
      </c>
    </row>
    <row r="25" spans="1:10" ht="27.95" customHeight="1">
      <c r="A25" s="683">
        <v>22163</v>
      </c>
      <c r="B25" s="288" t="s">
        <v>824</v>
      </c>
      <c r="C25" s="288">
        <v>0</v>
      </c>
      <c r="D25" s="288"/>
      <c r="E25" s="288">
        <v>10000000</v>
      </c>
      <c r="F25" s="288">
        <v>10000000</v>
      </c>
      <c r="G25" s="288">
        <v>10000000</v>
      </c>
      <c r="H25" s="288">
        <v>60000000</v>
      </c>
      <c r="I25" s="857">
        <v>210000000</v>
      </c>
      <c r="J25" s="575">
        <f t="shared" si="0"/>
        <v>150000000</v>
      </c>
    </row>
    <row r="26" spans="1:10" ht="27.95" customHeight="1">
      <c r="A26" s="683"/>
      <c r="B26" s="289" t="s">
        <v>92</v>
      </c>
      <c r="C26" s="288">
        <v>0</v>
      </c>
      <c r="D26" s="289">
        <f>SUM(D14:D21)</f>
        <v>94750000</v>
      </c>
      <c r="E26" s="289">
        <f>SUM(E11:E25)</f>
        <v>124150000</v>
      </c>
      <c r="F26" s="289">
        <f>SUM(F11:F25)</f>
        <v>134150000</v>
      </c>
      <c r="G26" s="289">
        <f>SUM(G11:G25)</f>
        <v>184150000</v>
      </c>
      <c r="H26" s="289">
        <f>SUM(H11:H25)</f>
        <v>259750000</v>
      </c>
      <c r="I26" s="856">
        <f>SUM(I11:I25)</f>
        <v>489750000</v>
      </c>
      <c r="J26" s="576">
        <f t="shared" si="0"/>
        <v>230000000</v>
      </c>
    </row>
    <row r="27" spans="1:10" ht="27.95" customHeight="1">
      <c r="A27" s="690">
        <v>2220</v>
      </c>
      <c r="B27" s="289" t="s">
        <v>240</v>
      </c>
      <c r="C27" s="288">
        <v>0</v>
      </c>
      <c r="D27" s="288"/>
      <c r="E27" s="288"/>
      <c r="F27" s="288"/>
      <c r="G27" s="288"/>
      <c r="H27" s="288"/>
      <c r="I27" s="857"/>
      <c r="J27" s="575">
        <f t="shared" si="0"/>
        <v>0</v>
      </c>
    </row>
    <row r="28" spans="1:10" ht="27.95" customHeight="1">
      <c r="A28" s="683">
        <v>22201</v>
      </c>
      <c r="B28" s="288" t="s">
        <v>132</v>
      </c>
      <c r="C28" s="288">
        <v>0</v>
      </c>
      <c r="D28" s="288"/>
      <c r="E28" s="288"/>
      <c r="F28" s="288"/>
      <c r="G28" s="288"/>
      <c r="H28" s="288"/>
      <c r="I28" s="857"/>
      <c r="J28" s="575">
        <f t="shared" si="0"/>
        <v>0</v>
      </c>
    </row>
    <row r="29" spans="1:10" ht="27.95" customHeight="1">
      <c r="A29" s="683">
        <v>22202</v>
      </c>
      <c r="B29" s="288" t="s">
        <v>133</v>
      </c>
      <c r="C29" s="288">
        <v>0</v>
      </c>
      <c r="D29" s="288">
        <v>44600000</v>
      </c>
      <c r="E29" s="288">
        <v>44600000</v>
      </c>
      <c r="F29" s="288">
        <v>64600000</v>
      </c>
      <c r="G29" s="288">
        <v>99600000</v>
      </c>
      <c r="H29" s="288">
        <v>99600000</v>
      </c>
      <c r="I29" s="857">
        <v>99600000</v>
      </c>
      <c r="J29" s="575">
        <f t="shared" si="0"/>
        <v>0</v>
      </c>
    </row>
    <row r="30" spans="1:10" ht="27.95" customHeight="1">
      <c r="A30" s="683">
        <v>22203</v>
      </c>
      <c r="B30" s="288" t="s">
        <v>127</v>
      </c>
      <c r="C30" s="288">
        <v>0</v>
      </c>
      <c r="D30" s="288">
        <v>10000000</v>
      </c>
      <c r="E30" s="288">
        <v>10000000</v>
      </c>
      <c r="F30" s="288">
        <v>20000000</v>
      </c>
      <c r="G30" s="288">
        <v>20000000</v>
      </c>
      <c r="H30" s="288">
        <v>20000000</v>
      </c>
      <c r="I30" s="857">
        <v>20000000</v>
      </c>
      <c r="J30" s="575">
        <f t="shared" si="0"/>
        <v>0</v>
      </c>
    </row>
    <row r="31" spans="1:10" ht="27.95" customHeight="1">
      <c r="A31" s="683">
        <v>22204</v>
      </c>
      <c r="B31" s="288" t="s">
        <v>128</v>
      </c>
      <c r="C31" s="288">
        <v>0</v>
      </c>
      <c r="D31" s="288">
        <v>2000000</v>
      </c>
      <c r="E31" s="288">
        <v>2000000</v>
      </c>
      <c r="F31" s="288">
        <v>2000000</v>
      </c>
      <c r="G31" s="288">
        <v>2000000</v>
      </c>
      <c r="H31" s="288">
        <v>2000000</v>
      </c>
      <c r="I31" s="857">
        <v>2000000</v>
      </c>
      <c r="J31" s="575">
        <f t="shared" si="0"/>
        <v>0</v>
      </c>
    </row>
    <row r="32" spans="1:10" ht="27.95" customHeight="1">
      <c r="A32" s="683">
        <v>22205</v>
      </c>
      <c r="B32" s="288" t="s">
        <v>134</v>
      </c>
      <c r="C32" s="288">
        <v>0</v>
      </c>
      <c r="D32" s="288"/>
      <c r="E32" s="288"/>
      <c r="F32" s="288"/>
      <c r="G32" s="288"/>
      <c r="H32" s="288"/>
      <c r="I32" s="857"/>
      <c r="J32" s="575">
        <f t="shared" si="0"/>
        <v>0</v>
      </c>
    </row>
    <row r="33" spans="1:10" ht="27.95" customHeight="1">
      <c r="A33" s="683"/>
      <c r="B33" s="289" t="s">
        <v>92</v>
      </c>
      <c r="C33" s="288">
        <v>0</v>
      </c>
      <c r="D33" s="289">
        <f>D31+D30+D29</f>
        <v>56600000</v>
      </c>
      <c r="E33" s="289">
        <f>SUM(E28:E32)</f>
        <v>56600000</v>
      </c>
      <c r="F33" s="289">
        <f>SUM(F28:F32)</f>
        <v>86600000</v>
      </c>
      <c r="G33" s="289">
        <f>SUM(G28:G32)</f>
        <v>121600000</v>
      </c>
      <c r="H33" s="289">
        <f>SUM(H28:H32)</f>
        <v>121600000</v>
      </c>
      <c r="I33" s="856">
        <f>SUM(I28:I32)</f>
        <v>121600000</v>
      </c>
      <c r="J33" s="576">
        <f t="shared" si="0"/>
        <v>0</v>
      </c>
    </row>
    <row r="34" spans="1:10" ht="27.95" customHeight="1">
      <c r="A34" s="690">
        <v>2230</v>
      </c>
      <c r="B34" s="289" t="s">
        <v>130</v>
      </c>
      <c r="C34" s="288">
        <v>0</v>
      </c>
      <c r="D34" s="288"/>
      <c r="E34" s="288"/>
      <c r="F34" s="288"/>
      <c r="G34" s="288"/>
      <c r="H34" s="288"/>
      <c r="I34" s="857"/>
      <c r="J34" s="575">
        <f t="shared" si="0"/>
        <v>0</v>
      </c>
    </row>
    <row r="35" spans="1:10" ht="27.95" customHeight="1">
      <c r="A35" s="683">
        <v>22301</v>
      </c>
      <c r="B35" s="288" t="s">
        <v>49</v>
      </c>
      <c r="C35" s="288">
        <v>0</v>
      </c>
      <c r="D35" s="288">
        <v>6000000</v>
      </c>
      <c r="E35" s="288">
        <v>6000000</v>
      </c>
      <c r="F35" s="288">
        <v>26000000</v>
      </c>
      <c r="G35" s="288">
        <v>26000000</v>
      </c>
      <c r="H35" s="288">
        <v>41000000</v>
      </c>
      <c r="I35" s="857">
        <v>41000000</v>
      </c>
      <c r="J35" s="575">
        <f t="shared" si="0"/>
        <v>0</v>
      </c>
    </row>
    <row r="36" spans="1:10" ht="27.95" customHeight="1">
      <c r="A36" s="683">
        <v>22302</v>
      </c>
      <c r="B36" s="288" t="s">
        <v>249</v>
      </c>
      <c r="C36" s="288">
        <v>0</v>
      </c>
      <c r="D36" s="288">
        <v>500000</v>
      </c>
      <c r="E36" s="288">
        <v>500000</v>
      </c>
      <c r="F36" s="288">
        <v>500000</v>
      </c>
      <c r="G36" s="288">
        <v>500000</v>
      </c>
      <c r="H36" s="288">
        <v>500000</v>
      </c>
      <c r="I36" s="857">
        <v>500000</v>
      </c>
      <c r="J36" s="575">
        <f t="shared" si="0"/>
        <v>0</v>
      </c>
    </row>
    <row r="37" spans="1:10" ht="27.95" customHeight="1">
      <c r="A37" s="683"/>
      <c r="B37" s="289" t="s">
        <v>92</v>
      </c>
      <c r="C37" s="288">
        <v>0</v>
      </c>
      <c r="D37" s="289">
        <f>D36+D35</f>
        <v>6500000</v>
      </c>
      <c r="E37" s="289">
        <f>SUM(E35:E36)</f>
        <v>6500000</v>
      </c>
      <c r="F37" s="289">
        <f>SUM(F35:F36)</f>
        <v>26500000</v>
      </c>
      <c r="G37" s="289">
        <f>SUM(G35:G36)</f>
        <v>26500000</v>
      </c>
      <c r="H37" s="289">
        <f>SUM(H35:H36)</f>
        <v>41500000</v>
      </c>
      <c r="I37" s="856">
        <f>SUM(I35:I36)</f>
        <v>41500000</v>
      </c>
      <c r="J37" s="576">
        <f t="shared" si="0"/>
        <v>0</v>
      </c>
    </row>
    <row r="38" spans="1:10" ht="27.95" customHeight="1">
      <c r="A38" s="690">
        <v>270</v>
      </c>
      <c r="B38" s="289" t="s">
        <v>253</v>
      </c>
      <c r="C38" s="288">
        <v>0</v>
      </c>
      <c r="D38" s="288"/>
      <c r="E38" s="288"/>
      <c r="F38" s="288"/>
      <c r="G38" s="288"/>
      <c r="H38" s="288"/>
      <c r="I38" s="857"/>
      <c r="J38" s="575">
        <f t="shared" si="0"/>
        <v>0</v>
      </c>
    </row>
    <row r="39" spans="1:10" ht="27.95" customHeight="1">
      <c r="A39" s="690">
        <v>2710</v>
      </c>
      <c r="B39" s="289" t="s">
        <v>252</v>
      </c>
      <c r="C39" s="288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857">
        <v>0</v>
      </c>
      <c r="J39" s="575">
        <f t="shared" si="0"/>
        <v>0</v>
      </c>
    </row>
    <row r="40" spans="1:10" ht="27.95" customHeight="1">
      <c r="A40" s="683">
        <v>27601</v>
      </c>
      <c r="B40" s="288" t="s">
        <v>264</v>
      </c>
      <c r="C40" s="288">
        <v>0</v>
      </c>
      <c r="D40" s="288">
        <v>65000000</v>
      </c>
      <c r="E40" s="288">
        <v>0</v>
      </c>
      <c r="F40" s="288">
        <v>0</v>
      </c>
      <c r="G40" s="288">
        <v>0</v>
      </c>
      <c r="H40" s="288">
        <v>0</v>
      </c>
      <c r="I40" s="857">
        <v>80000000</v>
      </c>
      <c r="J40" s="575">
        <f t="shared" si="0"/>
        <v>80000000</v>
      </c>
    </row>
    <row r="41" spans="1:10" ht="27.95" customHeight="1">
      <c r="A41" s="683">
        <v>27402</v>
      </c>
      <c r="B41" s="288" t="s">
        <v>265</v>
      </c>
      <c r="C41" s="288">
        <v>0</v>
      </c>
      <c r="D41" s="288">
        <v>42000000</v>
      </c>
      <c r="E41" s="288">
        <f>D41</f>
        <v>42000000</v>
      </c>
      <c r="F41" s="288">
        <v>0</v>
      </c>
      <c r="G41" s="288">
        <v>0</v>
      </c>
      <c r="H41" s="288">
        <v>150000000</v>
      </c>
      <c r="I41" s="857">
        <v>0</v>
      </c>
      <c r="J41" s="575">
        <f t="shared" si="0"/>
        <v>-150000000</v>
      </c>
    </row>
    <row r="42" spans="1:10" ht="27.95" customHeight="1">
      <c r="A42" s="683">
        <v>27502</v>
      </c>
      <c r="B42" s="288" t="s">
        <v>148</v>
      </c>
      <c r="C42" s="288">
        <v>0</v>
      </c>
      <c r="D42" s="288">
        <v>0</v>
      </c>
      <c r="E42" s="288">
        <v>0</v>
      </c>
      <c r="F42" s="288">
        <v>0</v>
      </c>
      <c r="G42" s="288">
        <v>0</v>
      </c>
      <c r="H42" s="288">
        <v>0</v>
      </c>
      <c r="I42" s="857">
        <v>0</v>
      </c>
      <c r="J42" s="575">
        <f t="shared" si="0"/>
        <v>0</v>
      </c>
    </row>
    <row r="43" spans="1:10" ht="27.95" customHeight="1">
      <c r="A43" s="683">
        <v>27608</v>
      </c>
      <c r="B43" s="288" t="s">
        <v>977</v>
      </c>
      <c r="C43" s="288">
        <v>0</v>
      </c>
      <c r="D43" s="288"/>
      <c r="E43" s="288"/>
      <c r="F43" s="288"/>
      <c r="G43" s="288"/>
      <c r="H43" s="288"/>
      <c r="I43" s="857"/>
      <c r="J43" s="575">
        <f t="shared" si="0"/>
        <v>0</v>
      </c>
    </row>
    <row r="44" spans="1:10" ht="27.95" customHeight="1">
      <c r="A44" s="683"/>
      <c r="B44" s="289" t="s">
        <v>92</v>
      </c>
      <c r="C44" s="288">
        <v>0</v>
      </c>
      <c r="D44" s="289">
        <f>D42+D41+D40</f>
        <v>107000000</v>
      </c>
      <c r="E44" s="289">
        <f>SUM(E39:E43)</f>
        <v>42000000</v>
      </c>
      <c r="F44" s="289">
        <f>SUM(F39:F43)</f>
        <v>0</v>
      </c>
      <c r="G44" s="289">
        <f>SUM(G39:G43)</f>
        <v>0</v>
      </c>
      <c r="H44" s="289">
        <f>SUM(H39:H43)</f>
        <v>150000000</v>
      </c>
      <c r="I44" s="856">
        <f>SUM(I39:I43)</f>
        <v>80000000</v>
      </c>
      <c r="J44" s="576">
        <f t="shared" si="0"/>
        <v>-70000000</v>
      </c>
    </row>
    <row r="45" spans="1:10" ht="27.95" customHeight="1">
      <c r="A45" s="690">
        <v>2720</v>
      </c>
      <c r="B45" s="289" t="s">
        <v>1096</v>
      </c>
      <c r="C45" s="288"/>
      <c r="D45" s="289"/>
      <c r="E45" s="289"/>
      <c r="F45" s="289"/>
      <c r="G45" s="289"/>
      <c r="H45" s="289"/>
      <c r="I45" s="856"/>
      <c r="J45" s="575">
        <f t="shared" si="0"/>
        <v>0</v>
      </c>
    </row>
    <row r="46" spans="1:10" ht="27.95" customHeight="1">
      <c r="A46" s="683">
        <v>27202</v>
      </c>
      <c r="B46" s="288" t="s">
        <v>1198</v>
      </c>
      <c r="C46" s="288"/>
      <c r="D46" s="289"/>
      <c r="E46" s="289"/>
      <c r="F46" s="289"/>
      <c r="G46" s="289">
        <v>0</v>
      </c>
      <c r="H46" s="288">
        <v>910000000</v>
      </c>
      <c r="I46" s="857">
        <v>0</v>
      </c>
      <c r="J46" s="575">
        <f t="shared" si="0"/>
        <v>-910000000</v>
      </c>
    </row>
    <row r="47" spans="1:10" ht="27.95" customHeight="1">
      <c r="A47" s="683"/>
      <c r="B47" s="288" t="s">
        <v>92</v>
      </c>
      <c r="C47" s="288"/>
      <c r="D47" s="289"/>
      <c r="E47" s="289"/>
      <c r="F47" s="289"/>
      <c r="G47" s="289"/>
      <c r="H47" s="289">
        <f>SUM(H46)</f>
        <v>910000000</v>
      </c>
      <c r="I47" s="856">
        <f>SUM(I46)</f>
        <v>0</v>
      </c>
      <c r="J47" s="576">
        <f t="shared" si="0"/>
        <v>-910000000</v>
      </c>
    </row>
    <row r="48" spans="1:10" ht="27.95" customHeight="1">
      <c r="A48" s="683"/>
      <c r="B48" s="289" t="s">
        <v>37</v>
      </c>
      <c r="C48" s="288">
        <v>0</v>
      </c>
      <c r="D48" s="289">
        <f>D44+D37+D33+D26+D8</f>
        <v>375686800</v>
      </c>
      <c r="E48" s="289">
        <f>E44+E37+E33+E26+E8</f>
        <v>428231600</v>
      </c>
      <c r="F48" s="289">
        <f>F44+F37+F33+F26+F8</f>
        <v>597677840</v>
      </c>
      <c r="G48" s="289">
        <f>G44+G37+G33+G26+G8</f>
        <v>658229520</v>
      </c>
      <c r="H48" s="289">
        <f>H44+H37+H33+H26+H8+H47</f>
        <v>2057614480</v>
      </c>
      <c r="I48" s="856">
        <f>I44+I37+I33+I26+I8+I47</f>
        <v>2022611728</v>
      </c>
      <c r="J48" s="576">
        <f t="shared" si="0"/>
        <v>-35002752</v>
      </c>
    </row>
  </sheetData>
  <pageMargins left="0.7" right="0.7" top="0.75" bottom="0.75" header="0.3" footer="0.3"/>
  <pageSetup scale="50" orientation="portrait" r:id="rId1"/>
  <headerFooter>
    <oddHeader xml:space="preserve">&amp;C&amp;"Algerian,Bold"&amp;36GARYAQAANKA GUUD </oddHeader>
    <oddFooter>&amp;R&amp;"Times New Roman,Bold"&amp;12 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A34" zoomScale="60" workbookViewId="0">
      <selection activeCell="S47" sqref="S47"/>
    </sheetView>
  </sheetViews>
  <sheetFormatPr defaultRowHeight="29.1" customHeight="1"/>
  <cols>
    <col min="1" max="1" width="15.5" style="399" customWidth="1"/>
    <col min="2" max="2" width="80.5" style="399" customWidth="1"/>
    <col min="3" max="12" width="9.33203125" style="399" hidden="1" customWidth="1"/>
    <col min="13" max="13" width="29.83203125" style="399" hidden="1" customWidth="1"/>
    <col min="14" max="17" width="27.6640625" style="399" hidden="1" customWidth="1"/>
    <col min="18" max="18" width="27.6640625" style="399" customWidth="1"/>
    <col min="19" max="19" width="29.5" style="399" bestFit="1" customWidth="1"/>
    <col min="20" max="20" width="30.6640625" style="399" bestFit="1" customWidth="1"/>
    <col min="21" max="16384" width="9.33203125" style="399"/>
  </cols>
  <sheetData>
    <row r="1" spans="1:20" ht="29.1" customHeight="1">
      <c r="A1" s="478" t="s">
        <v>40</v>
      </c>
      <c r="B1" s="545" t="s">
        <v>992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491"/>
    </row>
    <row r="2" spans="1:20" ht="29.1" customHeight="1">
      <c r="A2" s="303">
        <v>210</v>
      </c>
      <c r="B2" s="280" t="s">
        <v>137</v>
      </c>
      <c r="C2" s="482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151</v>
      </c>
      <c r="L2" s="482" t="s">
        <v>151</v>
      </c>
      <c r="M2" s="482" t="s">
        <v>257</v>
      </c>
      <c r="N2" s="482" t="s">
        <v>440</v>
      </c>
      <c r="O2" s="482" t="s">
        <v>806</v>
      </c>
      <c r="P2" s="482" t="s">
        <v>872</v>
      </c>
      <c r="Q2" s="482" t="s">
        <v>973</v>
      </c>
      <c r="R2" s="482" t="s">
        <v>1160</v>
      </c>
      <c r="S2" s="482" t="s">
        <v>1320</v>
      </c>
      <c r="T2" s="286" t="s">
        <v>56</v>
      </c>
    </row>
    <row r="3" spans="1:20" ht="29.1" customHeight="1">
      <c r="A3" s="303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693"/>
    </row>
    <row r="4" spans="1:20" ht="29.1" customHeight="1">
      <c r="A4" s="392">
        <v>21101</v>
      </c>
      <c r="B4" s="246" t="s">
        <v>28</v>
      </c>
      <c r="C4" s="246">
        <v>2136768000</v>
      </c>
      <c r="D4" s="246">
        <v>2136768000</v>
      </c>
      <c r="E4" s="246">
        <v>2567568000</v>
      </c>
      <c r="F4" s="246">
        <v>2653728000</v>
      </c>
      <c r="G4" s="246">
        <v>3515328000</v>
      </c>
      <c r="H4" s="246">
        <f>G4</f>
        <v>3515328000</v>
      </c>
      <c r="I4" s="246">
        <f>4569926400+318240000</f>
        <v>4888166400</v>
      </c>
      <c r="J4" s="246">
        <v>5152305600</v>
      </c>
      <c r="K4" s="246">
        <v>5788785600</v>
      </c>
      <c r="L4" s="246">
        <f>5152305600+636480000</f>
        <v>5788785600</v>
      </c>
      <c r="M4" s="246">
        <v>13817980800</v>
      </c>
      <c r="N4" s="246">
        <v>3245974620</v>
      </c>
      <c r="O4" s="246">
        <v>3453840000</v>
      </c>
      <c r="P4" s="246">
        <v>4368798720</v>
      </c>
      <c r="Q4" s="246">
        <v>4368798720</v>
      </c>
      <c r="R4" s="246">
        <v>4468878720</v>
      </c>
      <c r="S4" s="840">
        <v>5310790848</v>
      </c>
      <c r="T4" s="246">
        <f>S4-R4</f>
        <v>841912128</v>
      </c>
    </row>
    <row r="5" spans="1:20" ht="29.1" customHeight="1">
      <c r="A5" s="392">
        <v>21102</v>
      </c>
      <c r="B5" s="246" t="s">
        <v>1164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>
        <v>180000000</v>
      </c>
      <c r="S5" s="840">
        <v>360000000</v>
      </c>
      <c r="T5" s="246">
        <f t="shared" ref="T5:T47" si="0">S5-R5</f>
        <v>180000000</v>
      </c>
    </row>
    <row r="6" spans="1:20" ht="29.1" customHeight="1">
      <c r="A6" s="392">
        <v>21103</v>
      </c>
      <c r="B6" s="246" t="s">
        <v>841</v>
      </c>
      <c r="C6" s="246">
        <v>23600000</v>
      </c>
      <c r="D6" s="246">
        <v>23600000</v>
      </c>
      <c r="E6" s="246">
        <v>23600000</v>
      </c>
      <c r="F6" s="246">
        <v>23600000</v>
      </c>
      <c r="G6" s="246">
        <f>F6</f>
        <v>23600000</v>
      </c>
      <c r="H6" s="246">
        <v>60000000</v>
      </c>
      <c r="I6" s="246">
        <v>100000000</v>
      </c>
      <c r="J6" s="246">
        <v>100000000</v>
      </c>
      <c r="K6" s="246">
        <v>100000000</v>
      </c>
      <c r="L6" s="246">
        <v>100000000</v>
      </c>
      <c r="M6" s="246">
        <v>695600000</v>
      </c>
      <c r="N6" s="246">
        <v>339200000</v>
      </c>
      <c r="O6" s="246">
        <v>498000000</v>
      </c>
      <c r="P6" s="246">
        <v>498000000</v>
      </c>
      <c r="Q6" s="246">
        <v>498000000</v>
      </c>
      <c r="R6" s="246">
        <v>498000000</v>
      </c>
      <c r="S6" s="840">
        <v>498000000</v>
      </c>
      <c r="T6" s="246">
        <f t="shared" si="0"/>
        <v>0</v>
      </c>
    </row>
    <row r="7" spans="1:20" ht="29.1" customHeight="1">
      <c r="A7" s="302"/>
      <c r="B7" s="280" t="s">
        <v>92</v>
      </c>
      <c r="C7" s="246"/>
      <c r="D7" s="246"/>
      <c r="E7" s="246"/>
      <c r="F7" s="246"/>
      <c r="G7" s="246"/>
      <c r="H7" s="246">
        <v>0</v>
      </c>
      <c r="I7" s="246">
        <f>30000000+2089136</f>
        <v>32089136</v>
      </c>
      <c r="J7" s="246">
        <v>32089136</v>
      </c>
      <c r="K7" s="280">
        <f t="shared" ref="K7:P7" si="1">SUM(K4:K6)</f>
        <v>5888785600</v>
      </c>
      <c r="L7" s="280">
        <f t="shared" si="1"/>
        <v>5888785600</v>
      </c>
      <c r="M7" s="280">
        <f t="shared" si="1"/>
        <v>14513580800</v>
      </c>
      <c r="N7" s="280">
        <f t="shared" si="1"/>
        <v>3585174620</v>
      </c>
      <c r="O7" s="280">
        <f t="shared" si="1"/>
        <v>3951840000</v>
      </c>
      <c r="P7" s="280">
        <f t="shared" si="1"/>
        <v>4866798720</v>
      </c>
      <c r="Q7" s="280">
        <f>SUM(Q4:Q6)</f>
        <v>4866798720</v>
      </c>
      <c r="R7" s="280">
        <f>SUM(R4:R6)</f>
        <v>5146878720</v>
      </c>
      <c r="S7" s="851">
        <f>SUM(S4:S6)</f>
        <v>6168790848</v>
      </c>
      <c r="T7" s="280">
        <f t="shared" si="0"/>
        <v>1021912128</v>
      </c>
    </row>
    <row r="8" spans="1:20" ht="29.1" customHeight="1">
      <c r="A8" s="476">
        <v>220</v>
      </c>
      <c r="B8" s="280" t="s">
        <v>225</v>
      </c>
      <c r="C8" s="246">
        <v>494272000</v>
      </c>
      <c r="D8" s="246">
        <v>547031750</v>
      </c>
      <c r="E8" s="246">
        <v>547031750</v>
      </c>
      <c r="F8" s="246">
        <v>1022000000</v>
      </c>
      <c r="G8" s="246">
        <v>1460000000</v>
      </c>
      <c r="H8" s="246">
        <v>1460000000</v>
      </c>
      <c r="I8" s="246">
        <v>3650000000</v>
      </c>
      <c r="J8" s="246">
        <v>4117500000</v>
      </c>
      <c r="K8" s="246"/>
      <c r="L8" s="246"/>
      <c r="M8" s="246"/>
      <c r="N8" s="246"/>
      <c r="O8" s="246"/>
      <c r="P8" s="246"/>
      <c r="Q8" s="246"/>
      <c r="R8" s="246"/>
      <c r="S8" s="840"/>
      <c r="T8" s="246">
        <f t="shared" si="0"/>
        <v>0</v>
      </c>
    </row>
    <row r="9" spans="1:20" ht="29.1" customHeight="1">
      <c r="A9" s="476">
        <v>2210</v>
      </c>
      <c r="B9" s="280" t="s">
        <v>226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840"/>
      <c r="T9" s="246">
        <f t="shared" si="0"/>
        <v>0</v>
      </c>
    </row>
    <row r="10" spans="1:20" ht="29.1" customHeight="1">
      <c r="A10" s="392">
        <v>22101</v>
      </c>
      <c r="B10" s="246" t="s">
        <v>33</v>
      </c>
      <c r="C10" s="246">
        <v>180000000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20000000</v>
      </c>
      <c r="L10" s="246">
        <v>20000000</v>
      </c>
      <c r="M10" s="246">
        <f>20000000*70%</f>
        <v>14000000</v>
      </c>
      <c r="N10" s="246">
        <v>15000000</v>
      </c>
      <c r="O10" s="246">
        <v>40000000</v>
      </c>
      <c r="P10" s="246">
        <v>50000000</v>
      </c>
      <c r="Q10" s="246">
        <v>50000000</v>
      </c>
      <c r="R10" s="246">
        <v>50000000</v>
      </c>
      <c r="S10" s="840">
        <v>50000000</v>
      </c>
      <c r="T10" s="246">
        <f t="shared" si="0"/>
        <v>0</v>
      </c>
    </row>
    <row r="11" spans="1:20" ht="29.1" customHeight="1">
      <c r="A11" s="392">
        <v>22102</v>
      </c>
      <c r="B11" s="246" t="s">
        <v>842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>
        <v>20000000</v>
      </c>
      <c r="O11" s="246">
        <v>40000000</v>
      </c>
      <c r="P11" s="246">
        <v>50000000</v>
      </c>
      <c r="Q11" s="246">
        <v>50000000</v>
      </c>
      <c r="R11" s="246">
        <v>50000000</v>
      </c>
      <c r="S11" s="840">
        <v>50000000</v>
      </c>
      <c r="T11" s="246">
        <f t="shared" si="0"/>
        <v>0</v>
      </c>
    </row>
    <row r="12" spans="1:20" ht="29.1" customHeight="1">
      <c r="A12" s="392">
        <v>22103</v>
      </c>
      <c r="B12" s="246" t="s">
        <v>843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>
        <v>75000000</v>
      </c>
      <c r="O12" s="246">
        <f>N12</f>
        <v>75000000</v>
      </c>
      <c r="P12" s="246">
        <v>0</v>
      </c>
      <c r="Q12" s="246">
        <v>0</v>
      </c>
      <c r="R12" s="246">
        <v>0</v>
      </c>
      <c r="S12" s="840">
        <v>0</v>
      </c>
      <c r="T12" s="246">
        <f t="shared" si="0"/>
        <v>0</v>
      </c>
    </row>
    <row r="13" spans="1:20" ht="29.1" customHeight="1">
      <c r="A13" s="392">
        <v>22104</v>
      </c>
      <c r="B13" s="246" t="s">
        <v>157</v>
      </c>
      <c r="C13" s="280">
        <f t="shared" ref="C13:J13" si="2">SUM(C7:C10)</f>
        <v>674272000</v>
      </c>
      <c r="D13" s="280">
        <f t="shared" si="2"/>
        <v>547031750</v>
      </c>
      <c r="E13" s="280">
        <f t="shared" si="2"/>
        <v>547031750</v>
      </c>
      <c r="F13" s="280">
        <f t="shared" si="2"/>
        <v>1022000000</v>
      </c>
      <c r="G13" s="280">
        <f t="shared" si="2"/>
        <v>1460000000</v>
      </c>
      <c r="H13" s="280">
        <f t="shared" si="2"/>
        <v>1460000000</v>
      </c>
      <c r="I13" s="280">
        <f t="shared" si="2"/>
        <v>3682089136</v>
      </c>
      <c r="J13" s="280">
        <f t="shared" si="2"/>
        <v>4149589136</v>
      </c>
      <c r="K13" s="246">
        <v>25000000</v>
      </c>
      <c r="L13" s="246">
        <v>25000000</v>
      </c>
      <c r="M13" s="246">
        <f>25000000*70%</f>
        <v>17500000</v>
      </c>
      <c r="N13" s="246">
        <v>45000000</v>
      </c>
      <c r="O13" s="246">
        <f>N13</f>
        <v>45000000</v>
      </c>
      <c r="P13" s="246">
        <v>50000000</v>
      </c>
      <c r="Q13" s="246">
        <v>50000000</v>
      </c>
      <c r="R13" s="246">
        <v>50000000</v>
      </c>
      <c r="S13" s="840">
        <v>50000000</v>
      </c>
      <c r="T13" s="246">
        <f t="shared" si="0"/>
        <v>0</v>
      </c>
    </row>
    <row r="14" spans="1:20" ht="29.1" customHeight="1">
      <c r="A14" s="392">
        <v>22105</v>
      </c>
      <c r="B14" s="246" t="s">
        <v>135</v>
      </c>
      <c r="C14" s="246"/>
      <c r="D14" s="246"/>
      <c r="E14" s="246"/>
      <c r="F14" s="246"/>
      <c r="G14" s="246"/>
      <c r="H14" s="246"/>
      <c r="I14" s="246"/>
      <c r="J14" s="246"/>
      <c r="K14" s="246">
        <v>15000000</v>
      </c>
      <c r="L14" s="246">
        <v>15000000</v>
      </c>
      <c r="M14" s="246">
        <f>15000000*70%</f>
        <v>10500000</v>
      </c>
      <c r="N14" s="246">
        <v>20000000</v>
      </c>
      <c r="O14" s="246">
        <f>N14</f>
        <v>20000000</v>
      </c>
      <c r="P14" s="246">
        <v>30000000</v>
      </c>
      <c r="Q14" s="246">
        <v>30000000</v>
      </c>
      <c r="R14" s="246">
        <v>30000000</v>
      </c>
      <c r="S14" s="840">
        <v>30000000</v>
      </c>
      <c r="T14" s="246">
        <f t="shared" si="0"/>
        <v>0</v>
      </c>
    </row>
    <row r="15" spans="1:20" ht="29.1" customHeight="1">
      <c r="A15" s="392">
        <v>22107</v>
      </c>
      <c r="B15" s="246" t="s">
        <v>48</v>
      </c>
      <c r="C15" s="246">
        <v>40000000</v>
      </c>
      <c r="D15" s="246">
        <v>20000000</v>
      </c>
      <c r="E15" s="246">
        <v>20000000</v>
      </c>
      <c r="F15" s="246">
        <v>20000000</v>
      </c>
      <c r="G15" s="246">
        <v>24000000</v>
      </c>
      <c r="H15" s="246">
        <v>30000000</v>
      </c>
      <c r="I15" s="246">
        <v>33516000</v>
      </c>
      <c r="J15" s="246">
        <v>40000000</v>
      </c>
      <c r="K15" s="246">
        <v>30000000</v>
      </c>
      <c r="L15" s="246">
        <v>30000000</v>
      </c>
      <c r="M15" s="246">
        <f>30000000*70%</f>
        <v>21000000</v>
      </c>
      <c r="N15" s="246">
        <v>10000000</v>
      </c>
      <c r="O15" s="246">
        <v>25000000</v>
      </c>
      <c r="P15" s="246">
        <v>50000000</v>
      </c>
      <c r="Q15" s="246">
        <v>50000000</v>
      </c>
      <c r="R15" s="246">
        <v>50000000</v>
      </c>
      <c r="S15" s="840">
        <v>50000000</v>
      </c>
      <c r="T15" s="246">
        <f t="shared" si="0"/>
        <v>0</v>
      </c>
    </row>
    <row r="16" spans="1:20" ht="29.1" customHeight="1">
      <c r="A16" s="392">
        <v>22108</v>
      </c>
      <c r="B16" s="246" t="s">
        <v>1074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>
        <v>0</v>
      </c>
      <c r="Q16" s="246">
        <v>500000000</v>
      </c>
      <c r="R16" s="246">
        <v>800000000</v>
      </c>
      <c r="S16" s="840">
        <v>1300000000</v>
      </c>
      <c r="T16" s="246">
        <f t="shared" si="0"/>
        <v>500000000</v>
      </c>
    </row>
    <row r="17" spans="1:20" ht="29.1" customHeight="1">
      <c r="A17" s="392">
        <v>22109</v>
      </c>
      <c r="B17" s="246" t="s">
        <v>136</v>
      </c>
      <c r="C17" s="246">
        <v>10000000</v>
      </c>
      <c r="D17" s="246">
        <v>20000000</v>
      </c>
      <c r="E17" s="246">
        <v>20000000</v>
      </c>
      <c r="F17" s="246">
        <v>20000000</v>
      </c>
      <c r="G17" s="246">
        <v>16000000</v>
      </c>
      <c r="H17" s="246">
        <v>20000000</v>
      </c>
      <c r="I17" s="246">
        <v>22344000</v>
      </c>
      <c r="J17" s="246">
        <v>30000000</v>
      </c>
      <c r="K17" s="246">
        <v>10000000</v>
      </c>
      <c r="L17" s="246">
        <v>10000000</v>
      </c>
      <c r="M17" s="246">
        <f>10000000*70%</f>
        <v>7000000</v>
      </c>
      <c r="N17" s="246">
        <v>5000000</v>
      </c>
      <c r="O17" s="246">
        <v>15000000</v>
      </c>
      <c r="P17" s="246">
        <v>15000000</v>
      </c>
      <c r="Q17" s="246">
        <v>15000000</v>
      </c>
      <c r="R17" s="246">
        <v>15000000</v>
      </c>
      <c r="S17" s="840">
        <v>15000000</v>
      </c>
      <c r="T17" s="246">
        <f t="shared" si="0"/>
        <v>0</v>
      </c>
    </row>
    <row r="18" spans="1:20" ht="29.1" customHeight="1">
      <c r="A18" s="392">
        <v>22112</v>
      </c>
      <c r="B18" s="246" t="s">
        <v>35</v>
      </c>
      <c r="C18" s="246">
        <v>10000000</v>
      </c>
      <c r="D18" s="246">
        <v>20000000</v>
      </c>
      <c r="E18" s="246">
        <v>20000000</v>
      </c>
      <c r="F18" s="246">
        <v>20000000</v>
      </c>
      <c r="G18" s="246">
        <v>16000000</v>
      </c>
      <c r="H18" s="246">
        <v>20000000</v>
      </c>
      <c r="I18" s="246">
        <v>22344000</v>
      </c>
      <c r="J18" s="246">
        <v>25000000</v>
      </c>
      <c r="K18" s="246">
        <v>70000000</v>
      </c>
      <c r="L18" s="246">
        <v>70000000</v>
      </c>
      <c r="M18" s="246">
        <f>70000000*70%</f>
        <v>49000000</v>
      </c>
      <c r="N18" s="246">
        <v>20000000</v>
      </c>
      <c r="O18" s="246">
        <v>25000000</v>
      </c>
      <c r="P18" s="246">
        <v>25000000</v>
      </c>
      <c r="Q18" s="246">
        <v>25000000</v>
      </c>
      <c r="R18" s="246">
        <v>25000000</v>
      </c>
      <c r="S18" s="840">
        <v>25000000</v>
      </c>
      <c r="T18" s="246">
        <f t="shared" si="0"/>
        <v>0</v>
      </c>
    </row>
    <row r="19" spans="1:20" ht="29.1" customHeight="1">
      <c r="A19" s="392">
        <v>22113</v>
      </c>
      <c r="B19" s="246" t="s">
        <v>845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>
        <v>0</v>
      </c>
      <c r="O19" s="246">
        <v>30000000</v>
      </c>
      <c r="P19" s="246">
        <v>30000000</v>
      </c>
      <c r="Q19" s="246">
        <v>30000000</v>
      </c>
      <c r="R19" s="246">
        <v>30000000</v>
      </c>
      <c r="S19" s="840">
        <v>30000000</v>
      </c>
      <c r="T19" s="246">
        <f t="shared" si="0"/>
        <v>0</v>
      </c>
    </row>
    <row r="20" spans="1:20" ht="29.1" customHeight="1">
      <c r="A20" s="392">
        <v>22116</v>
      </c>
      <c r="B20" s="246" t="s">
        <v>846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>
        <v>0</v>
      </c>
      <c r="O20" s="246">
        <v>20000000</v>
      </c>
      <c r="P20" s="246">
        <v>20000000</v>
      </c>
      <c r="Q20" s="246">
        <v>20000000</v>
      </c>
      <c r="R20" s="246">
        <v>20000000</v>
      </c>
      <c r="S20" s="840">
        <v>20000000</v>
      </c>
      <c r="T20" s="246">
        <f t="shared" si="0"/>
        <v>0</v>
      </c>
    </row>
    <row r="21" spans="1:20" ht="29.1" customHeight="1">
      <c r="A21" s="392">
        <v>22132</v>
      </c>
      <c r="B21" s="246" t="s">
        <v>187</v>
      </c>
      <c r="C21" s="280"/>
      <c r="D21" s="280"/>
      <c r="E21" s="280"/>
      <c r="F21" s="280"/>
      <c r="G21" s="280"/>
      <c r="H21" s="280"/>
      <c r="I21" s="280"/>
      <c r="J21" s="280"/>
      <c r="K21" s="246">
        <v>445775100</v>
      </c>
      <c r="L21" s="246">
        <v>445775100</v>
      </c>
      <c r="M21" s="246">
        <f>445775100</f>
        <v>445775100</v>
      </c>
      <c r="N21" s="246">
        <v>210000000</v>
      </c>
      <c r="O21" s="246">
        <v>310000000</v>
      </c>
      <c r="P21" s="246">
        <v>510000000</v>
      </c>
      <c r="Q21" s="246">
        <v>510000000</v>
      </c>
      <c r="R21" s="246">
        <v>510000000</v>
      </c>
      <c r="S21" s="840">
        <v>510000000</v>
      </c>
      <c r="T21" s="246">
        <f t="shared" si="0"/>
        <v>0</v>
      </c>
    </row>
    <row r="22" spans="1:20" ht="29.1" customHeight="1">
      <c r="A22" s="392"/>
      <c r="B22" s="280" t="s">
        <v>92</v>
      </c>
      <c r="C22" s="246">
        <v>4000000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80">
        <f t="shared" ref="K22:P22" si="3">SUM(K10:K21)</f>
        <v>615775100</v>
      </c>
      <c r="L22" s="280">
        <f t="shared" si="3"/>
        <v>615775100</v>
      </c>
      <c r="M22" s="280">
        <f t="shared" si="3"/>
        <v>564775100</v>
      </c>
      <c r="N22" s="280">
        <f t="shared" si="3"/>
        <v>420000000</v>
      </c>
      <c r="O22" s="280">
        <f t="shared" si="3"/>
        <v>645000000</v>
      </c>
      <c r="P22" s="280">
        <f t="shared" si="3"/>
        <v>830000000</v>
      </c>
      <c r="Q22" s="280">
        <f>SUM(Q10:Q21)</f>
        <v>1330000000</v>
      </c>
      <c r="R22" s="280">
        <f>SUM(R10:R21)</f>
        <v>1630000000</v>
      </c>
      <c r="S22" s="851">
        <f>SUM(S10:S21)</f>
        <v>2130000000</v>
      </c>
      <c r="T22" s="280">
        <f t="shared" si="0"/>
        <v>500000000</v>
      </c>
    </row>
    <row r="23" spans="1:20" ht="29.1" customHeight="1">
      <c r="A23" s="476">
        <v>2220</v>
      </c>
      <c r="B23" s="280" t="s">
        <v>240</v>
      </c>
      <c r="C23" s="246">
        <v>4000000</v>
      </c>
      <c r="D23" s="246">
        <v>24000000</v>
      </c>
      <c r="E23" s="246">
        <v>24000000</v>
      </c>
      <c r="F23" s="246">
        <v>24000000</v>
      </c>
      <c r="G23" s="246">
        <v>19200000</v>
      </c>
      <c r="H23" s="246">
        <v>24000000</v>
      </c>
      <c r="I23" s="246">
        <v>17875200</v>
      </c>
      <c r="J23" s="246">
        <v>30000000</v>
      </c>
      <c r="K23" s="246"/>
      <c r="L23" s="246"/>
      <c r="M23" s="246"/>
      <c r="N23" s="246"/>
      <c r="O23" s="246"/>
      <c r="P23" s="246"/>
      <c r="Q23" s="246"/>
      <c r="R23" s="246"/>
      <c r="S23" s="840"/>
      <c r="T23" s="246">
        <f t="shared" si="0"/>
        <v>0</v>
      </c>
    </row>
    <row r="24" spans="1:20" ht="29.1" customHeight="1">
      <c r="A24" s="392">
        <v>22201</v>
      </c>
      <c r="B24" s="246" t="s">
        <v>132</v>
      </c>
      <c r="C24" s="246">
        <v>0</v>
      </c>
      <c r="D24" s="246">
        <v>0</v>
      </c>
      <c r="E24" s="246">
        <v>0</v>
      </c>
      <c r="F24" s="246">
        <v>0</v>
      </c>
      <c r="G24" s="246">
        <v>2400000</v>
      </c>
      <c r="H24" s="246">
        <v>3000000</v>
      </c>
      <c r="I24" s="246">
        <v>7448000</v>
      </c>
      <c r="J24" s="246">
        <v>10000000</v>
      </c>
      <c r="K24" s="246"/>
      <c r="L24" s="246">
        <v>0</v>
      </c>
      <c r="M24" s="246">
        <v>0</v>
      </c>
      <c r="N24" s="246">
        <v>0</v>
      </c>
      <c r="O24" s="246"/>
      <c r="P24" s="246"/>
      <c r="Q24" s="246"/>
      <c r="R24" s="246"/>
      <c r="S24" s="840"/>
      <c r="T24" s="246">
        <f t="shared" si="0"/>
        <v>0</v>
      </c>
    </row>
    <row r="25" spans="1:20" ht="29.1" customHeight="1">
      <c r="A25" s="392">
        <v>22202</v>
      </c>
      <c r="B25" s="246" t="s">
        <v>133</v>
      </c>
      <c r="C25" s="246"/>
      <c r="D25" s="246"/>
      <c r="E25" s="246"/>
      <c r="F25" s="246"/>
      <c r="G25" s="246"/>
      <c r="H25" s="246"/>
      <c r="I25" s="246"/>
      <c r="J25" s="246"/>
      <c r="K25" s="246">
        <v>500000000</v>
      </c>
      <c r="L25" s="246">
        <v>500000000</v>
      </c>
      <c r="M25" s="246">
        <f>1089530000</f>
        <v>1089530000</v>
      </c>
      <c r="N25" s="246">
        <v>540000000</v>
      </c>
      <c r="O25" s="246">
        <f>N25</f>
        <v>540000000</v>
      </c>
      <c r="P25" s="246">
        <v>640000000</v>
      </c>
      <c r="Q25" s="246">
        <v>640000000</v>
      </c>
      <c r="R25" s="246">
        <v>640000000</v>
      </c>
      <c r="S25" s="840">
        <v>640000000</v>
      </c>
      <c r="T25" s="246">
        <f t="shared" si="0"/>
        <v>0</v>
      </c>
    </row>
    <row r="26" spans="1:20" ht="29.1" customHeight="1">
      <c r="A26" s="392">
        <v>22203</v>
      </c>
      <c r="B26" s="246" t="s">
        <v>127</v>
      </c>
      <c r="C26" s="246">
        <v>0</v>
      </c>
      <c r="D26" s="246">
        <v>4000000</v>
      </c>
      <c r="E26" s="246">
        <v>4000000</v>
      </c>
      <c r="F26" s="246">
        <v>4000000</v>
      </c>
      <c r="G26" s="246">
        <v>4800000</v>
      </c>
      <c r="H26" s="246">
        <v>6000000</v>
      </c>
      <c r="I26" s="246">
        <v>11916800</v>
      </c>
      <c r="J26" s="246">
        <v>10000000</v>
      </c>
      <c r="K26" s="246">
        <v>45000000</v>
      </c>
      <c r="L26" s="246">
        <v>45000000</v>
      </c>
      <c r="M26" s="246">
        <f>45000000*70%</f>
        <v>31499999.999999996</v>
      </c>
      <c r="N26" s="246">
        <v>75000000</v>
      </c>
      <c r="O26" s="246">
        <v>85000000</v>
      </c>
      <c r="P26" s="246">
        <v>100000000</v>
      </c>
      <c r="Q26" s="246">
        <v>100000000</v>
      </c>
      <c r="R26" s="246">
        <v>100000000</v>
      </c>
      <c r="S26" s="840">
        <v>100000000</v>
      </c>
      <c r="T26" s="246">
        <f t="shared" si="0"/>
        <v>0</v>
      </c>
    </row>
    <row r="27" spans="1:20" ht="29.1" customHeight="1">
      <c r="A27" s="392">
        <v>22204</v>
      </c>
      <c r="B27" s="246" t="s">
        <v>128</v>
      </c>
      <c r="C27" s="246">
        <v>4000000</v>
      </c>
      <c r="D27" s="246">
        <v>0</v>
      </c>
      <c r="E27" s="246">
        <v>0</v>
      </c>
      <c r="F27" s="246">
        <v>0</v>
      </c>
      <c r="G27" s="246">
        <v>0</v>
      </c>
      <c r="H27" s="246">
        <v>20000000</v>
      </c>
      <c r="I27" s="246">
        <v>14896000</v>
      </c>
      <c r="J27" s="246">
        <v>25000000</v>
      </c>
      <c r="K27" s="246">
        <v>30000000</v>
      </c>
      <c r="L27" s="246">
        <v>30000000</v>
      </c>
      <c r="M27" s="246">
        <f>30000000*70%</f>
        <v>21000000</v>
      </c>
      <c r="N27" s="246">
        <v>10000000</v>
      </c>
      <c r="O27" s="246">
        <v>30000000</v>
      </c>
      <c r="P27" s="246">
        <v>30000000</v>
      </c>
      <c r="Q27" s="246">
        <v>30000000</v>
      </c>
      <c r="R27" s="246">
        <v>30000000</v>
      </c>
      <c r="S27" s="840">
        <v>30000000</v>
      </c>
      <c r="T27" s="246">
        <f t="shared" si="0"/>
        <v>0</v>
      </c>
    </row>
    <row r="28" spans="1:20" ht="29.1" customHeight="1">
      <c r="A28" s="392">
        <v>22208</v>
      </c>
      <c r="B28" s="305" t="s">
        <v>517</v>
      </c>
      <c r="C28" s="290"/>
      <c r="D28" s="290"/>
      <c r="E28" s="290"/>
      <c r="F28" s="290"/>
      <c r="G28" s="290"/>
      <c r="H28" s="290"/>
      <c r="I28" s="290"/>
      <c r="J28" s="290"/>
      <c r="K28" s="305">
        <v>9622278136</v>
      </c>
      <c r="L28" s="290">
        <v>9622278136</v>
      </c>
      <c r="M28" s="290">
        <v>11364120000</v>
      </c>
      <c r="N28" s="290">
        <v>876825380</v>
      </c>
      <c r="O28" s="290">
        <v>1076825380</v>
      </c>
      <c r="P28" s="290">
        <v>1076825380</v>
      </c>
      <c r="Q28" s="290">
        <v>1076825380</v>
      </c>
      <c r="R28" s="290">
        <v>1076825380</v>
      </c>
      <c r="S28" s="858">
        <v>1076825380</v>
      </c>
      <c r="T28" s="246">
        <f t="shared" si="0"/>
        <v>0</v>
      </c>
    </row>
    <row r="29" spans="1:20" ht="29.1" customHeight="1">
      <c r="A29" s="392">
        <v>22210</v>
      </c>
      <c r="B29" s="305" t="s">
        <v>270</v>
      </c>
      <c r="C29" s="305">
        <v>4000000</v>
      </c>
      <c r="D29" s="305">
        <v>0</v>
      </c>
      <c r="E29" s="305">
        <v>0</v>
      </c>
      <c r="F29" s="305">
        <v>0</v>
      </c>
      <c r="G29" s="305">
        <v>0</v>
      </c>
      <c r="H29" s="305">
        <v>30000000</v>
      </c>
      <c r="I29" s="305">
        <v>22344000</v>
      </c>
      <c r="J29" s="305">
        <v>22344000</v>
      </c>
      <c r="K29" s="305">
        <v>40000000</v>
      </c>
      <c r="L29" s="305">
        <v>40000000</v>
      </c>
      <c r="M29" s="305">
        <f>611180000*70%</f>
        <v>427826000</v>
      </c>
      <c r="N29" s="305">
        <v>3000000</v>
      </c>
      <c r="O29" s="305">
        <v>10000000</v>
      </c>
      <c r="P29" s="305">
        <v>20000000</v>
      </c>
      <c r="Q29" s="305">
        <v>20000000</v>
      </c>
      <c r="R29" s="305">
        <v>20000000</v>
      </c>
      <c r="S29" s="859">
        <v>20000000</v>
      </c>
      <c r="T29" s="246">
        <f t="shared" si="0"/>
        <v>0</v>
      </c>
    </row>
    <row r="30" spans="1:20" ht="29.1" customHeight="1">
      <c r="A30" s="392">
        <v>22216</v>
      </c>
      <c r="B30" s="305" t="s">
        <v>349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>
        <v>65000000</v>
      </c>
      <c r="M30" s="290">
        <f>65000000*70%</f>
        <v>45500000</v>
      </c>
      <c r="N30" s="290">
        <v>90000000</v>
      </c>
      <c r="O30" s="290">
        <v>100000000</v>
      </c>
      <c r="P30" s="290">
        <v>100000000</v>
      </c>
      <c r="Q30" s="290">
        <v>100000000</v>
      </c>
      <c r="R30" s="290">
        <v>100000000</v>
      </c>
      <c r="S30" s="858">
        <v>100000000</v>
      </c>
      <c r="T30" s="246">
        <f t="shared" si="0"/>
        <v>0</v>
      </c>
    </row>
    <row r="31" spans="1:20" ht="29.1" customHeight="1">
      <c r="A31" s="392"/>
      <c r="B31" s="313" t="s">
        <v>92</v>
      </c>
      <c r="C31" s="290"/>
      <c r="D31" s="290"/>
      <c r="E31" s="290"/>
      <c r="F31" s="290"/>
      <c r="G31" s="290"/>
      <c r="H31" s="290"/>
      <c r="I31" s="290"/>
      <c r="J31" s="290"/>
      <c r="K31" s="291">
        <f ca="1">SUM(K25:K42)</f>
        <v>10267278136</v>
      </c>
      <c r="L31" s="291">
        <f t="shared" ref="L31:P31" si="4">SUM(L24:L30)</f>
        <v>10302278136</v>
      </c>
      <c r="M31" s="291">
        <f t="shared" si="4"/>
        <v>12979476000</v>
      </c>
      <c r="N31" s="291">
        <f t="shared" si="4"/>
        <v>1594825380</v>
      </c>
      <c r="O31" s="291">
        <f t="shared" si="4"/>
        <v>1841825380</v>
      </c>
      <c r="P31" s="291">
        <f t="shared" si="4"/>
        <v>1966825380</v>
      </c>
      <c r="Q31" s="291">
        <f>SUM(Q24:Q30)</f>
        <v>1966825380</v>
      </c>
      <c r="R31" s="291">
        <f>SUM(R24:R30)</f>
        <v>1966825380</v>
      </c>
      <c r="S31" s="860">
        <f>SUM(S24:S30)</f>
        <v>1966825380</v>
      </c>
      <c r="T31" s="280">
        <f t="shared" si="0"/>
        <v>0</v>
      </c>
    </row>
    <row r="32" spans="1:20" ht="29.1" customHeight="1">
      <c r="A32" s="476">
        <v>2230</v>
      </c>
      <c r="B32" s="313" t="s">
        <v>130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858"/>
      <c r="T32" s="246">
        <f t="shared" si="0"/>
        <v>0</v>
      </c>
    </row>
    <row r="33" spans="1:20" ht="29.1" customHeight="1">
      <c r="A33" s="392">
        <v>22301</v>
      </c>
      <c r="B33" s="305" t="s">
        <v>49</v>
      </c>
      <c r="C33" s="290"/>
      <c r="D33" s="290"/>
      <c r="E33" s="290"/>
      <c r="F33" s="290"/>
      <c r="G33" s="290"/>
      <c r="H33" s="290"/>
      <c r="I33" s="290"/>
      <c r="J33" s="290"/>
      <c r="K33" s="290">
        <v>100000000</v>
      </c>
      <c r="L33" s="290">
        <v>100000000</v>
      </c>
      <c r="M33" s="290">
        <f>135000000*70%+103596470</f>
        <v>198096470</v>
      </c>
      <c r="N33" s="290">
        <v>250000000</v>
      </c>
      <c r="O33" s="290">
        <v>300000000</v>
      </c>
      <c r="P33" s="290">
        <v>300000000</v>
      </c>
      <c r="Q33" s="290">
        <v>300000000</v>
      </c>
      <c r="R33" s="290">
        <v>300000000</v>
      </c>
      <c r="S33" s="858">
        <v>300000000</v>
      </c>
      <c r="T33" s="246">
        <f t="shared" si="0"/>
        <v>0</v>
      </c>
    </row>
    <row r="34" spans="1:20" ht="29.1" customHeight="1">
      <c r="A34" s="392">
        <v>22302</v>
      </c>
      <c r="B34" s="305" t="s">
        <v>249</v>
      </c>
      <c r="C34" s="290"/>
      <c r="D34" s="290"/>
      <c r="E34" s="290"/>
      <c r="F34" s="290"/>
      <c r="G34" s="290"/>
      <c r="H34" s="290"/>
      <c r="I34" s="290"/>
      <c r="J34" s="290"/>
      <c r="K34" s="290">
        <v>15000000</v>
      </c>
      <c r="L34" s="290">
        <v>15000000</v>
      </c>
      <c r="M34" s="290">
        <f>15000000*70%</f>
        <v>10500000</v>
      </c>
      <c r="N34" s="290">
        <v>10000000</v>
      </c>
      <c r="O34" s="290">
        <v>15000000</v>
      </c>
      <c r="P34" s="290">
        <v>20000000</v>
      </c>
      <c r="Q34" s="290">
        <v>20000000</v>
      </c>
      <c r="R34" s="290">
        <v>20000000</v>
      </c>
      <c r="S34" s="858">
        <v>20000000</v>
      </c>
      <c r="T34" s="246">
        <f t="shared" si="0"/>
        <v>0</v>
      </c>
    </row>
    <row r="35" spans="1:20" ht="29.1" customHeight="1">
      <c r="A35" s="392">
        <v>22307</v>
      </c>
      <c r="B35" s="305" t="s">
        <v>844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>
        <v>10000000</v>
      </c>
      <c r="O35" s="290">
        <f>N35</f>
        <v>10000000</v>
      </c>
      <c r="P35" s="290">
        <f>O35</f>
        <v>10000000</v>
      </c>
      <c r="Q35" s="290">
        <f>P35</f>
        <v>10000000</v>
      </c>
      <c r="R35" s="290">
        <f>Q35</f>
        <v>10000000</v>
      </c>
      <c r="S35" s="858">
        <f>R35</f>
        <v>10000000</v>
      </c>
      <c r="T35" s="246">
        <f t="shared" si="0"/>
        <v>0</v>
      </c>
    </row>
    <row r="36" spans="1:20" ht="29.1" customHeight="1">
      <c r="A36" s="392"/>
      <c r="B36" s="313" t="s">
        <v>92</v>
      </c>
      <c r="C36" s="290"/>
      <c r="D36" s="290"/>
      <c r="E36" s="290"/>
      <c r="F36" s="290"/>
      <c r="G36" s="290"/>
      <c r="H36" s="290"/>
      <c r="I36" s="290"/>
      <c r="J36" s="290"/>
      <c r="K36" s="291">
        <f>SUM(K33:K34)</f>
        <v>115000000</v>
      </c>
      <c r="L36" s="291">
        <f>SUM(L33:L34)</f>
        <v>115000000</v>
      </c>
      <c r="M36" s="291">
        <f>SUM(M33:M34)</f>
        <v>208596470</v>
      </c>
      <c r="N36" s="291">
        <f t="shared" ref="N36:S36" si="5">SUM(N33:N35)</f>
        <v>270000000</v>
      </c>
      <c r="O36" s="291">
        <f t="shared" si="5"/>
        <v>325000000</v>
      </c>
      <c r="P36" s="291">
        <f t="shared" si="5"/>
        <v>330000000</v>
      </c>
      <c r="Q36" s="291">
        <f t="shared" si="5"/>
        <v>330000000</v>
      </c>
      <c r="R36" s="291">
        <f t="shared" si="5"/>
        <v>330000000</v>
      </c>
      <c r="S36" s="860">
        <f t="shared" si="5"/>
        <v>330000000</v>
      </c>
      <c r="T36" s="280">
        <f t="shared" si="0"/>
        <v>0</v>
      </c>
    </row>
    <row r="37" spans="1:20" ht="29.1" customHeight="1">
      <c r="A37" s="476">
        <v>270</v>
      </c>
      <c r="B37" s="313" t="s">
        <v>253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858"/>
      <c r="T37" s="246">
        <f t="shared" si="0"/>
        <v>0</v>
      </c>
    </row>
    <row r="38" spans="1:20" ht="29.1" customHeight="1">
      <c r="A38" s="476">
        <v>2710</v>
      </c>
      <c r="B38" s="313" t="s">
        <v>252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858"/>
      <c r="T38" s="246">
        <f t="shared" si="0"/>
        <v>0</v>
      </c>
    </row>
    <row r="39" spans="1:20" ht="29.1" customHeight="1">
      <c r="A39" s="392">
        <v>27601</v>
      </c>
      <c r="B39" s="305" t="s">
        <v>264</v>
      </c>
      <c r="C39" s="290"/>
      <c r="D39" s="290"/>
      <c r="E39" s="290"/>
      <c r="F39" s="290"/>
      <c r="G39" s="290"/>
      <c r="H39" s="290"/>
      <c r="I39" s="290"/>
      <c r="J39" s="290"/>
      <c r="K39" s="290">
        <v>30000000</v>
      </c>
      <c r="L39" s="290">
        <v>0</v>
      </c>
      <c r="M39" s="290">
        <v>0</v>
      </c>
      <c r="N39" s="246">
        <v>20000000</v>
      </c>
      <c r="O39" s="246">
        <f>N39</f>
        <v>20000000</v>
      </c>
      <c r="P39" s="246">
        <v>40000000</v>
      </c>
      <c r="Q39" s="246">
        <v>40000000</v>
      </c>
      <c r="R39" s="246">
        <f>Q39</f>
        <v>40000000</v>
      </c>
      <c r="S39" s="840">
        <v>0</v>
      </c>
      <c r="T39" s="246">
        <f t="shared" si="0"/>
        <v>-40000000</v>
      </c>
    </row>
    <row r="40" spans="1:20" ht="29.1" customHeight="1">
      <c r="A40" s="392">
        <v>27402</v>
      </c>
      <c r="B40" s="305" t="s">
        <v>265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>
        <v>0</v>
      </c>
      <c r="M40" s="290">
        <v>264000000</v>
      </c>
      <c r="N40" s="246">
        <v>0</v>
      </c>
      <c r="O40" s="246">
        <v>150000000</v>
      </c>
      <c r="P40" s="246">
        <v>100000000</v>
      </c>
      <c r="Q40" s="246">
        <v>120000000</v>
      </c>
      <c r="R40" s="246">
        <v>0</v>
      </c>
      <c r="S40" s="840">
        <v>450000000</v>
      </c>
      <c r="T40" s="246">
        <f t="shared" si="0"/>
        <v>450000000</v>
      </c>
    </row>
    <row r="41" spans="1:20" ht="29.1" customHeight="1">
      <c r="A41" s="392">
        <v>27604</v>
      </c>
      <c r="B41" s="305" t="s">
        <v>148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>
        <v>30000000</v>
      </c>
      <c r="M41" s="290">
        <f>30000000*70%</f>
        <v>21000000</v>
      </c>
      <c r="N41" s="246">
        <v>10000000</v>
      </c>
      <c r="O41" s="246">
        <f>N41</f>
        <v>10000000</v>
      </c>
      <c r="P41" s="246">
        <v>15000000</v>
      </c>
      <c r="Q41" s="246">
        <v>15000000</v>
      </c>
      <c r="R41" s="246">
        <v>15000000</v>
      </c>
      <c r="S41" s="840">
        <v>15000000</v>
      </c>
      <c r="T41" s="246">
        <f t="shared" si="0"/>
        <v>0</v>
      </c>
    </row>
    <row r="42" spans="1:20" ht="29.1" customHeight="1">
      <c r="A42" s="392">
        <v>27608</v>
      </c>
      <c r="B42" s="305" t="s">
        <v>149</v>
      </c>
      <c r="C42" s="290"/>
      <c r="D42" s="290"/>
      <c r="E42" s="290"/>
      <c r="F42" s="290"/>
      <c r="G42" s="290"/>
      <c r="H42" s="290"/>
      <c r="I42" s="290"/>
      <c r="J42" s="290"/>
      <c r="K42" s="290">
        <v>15000000</v>
      </c>
      <c r="L42" s="290">
        <v>15000000</v>
      </c>
      <c r="M42" s="290">
        <f>15000000*70%</f>
        <v>10500000</v>
      </c>
      <c r="N42" s="246">
        <v>0</v>
      </c>
      <c r="O42" s="246">
        <v>0</v>
      </c>
      <c r="P42" s="246">
        <v>20000000</v>
      </c>
      <c r="Q42" s="246">
        <v>20000000</v>
      </c>
      <c r="R42" s="246">
        <v>20000000</v>
      </c>
      <c r="S42" s="840">
        <v>20000000</v>
      </c>
      <c r="T42" s="246">
        <f t="shared" si="0"/>
        <v>0</v>
      </c>
    </row>
    <row r="43" spans="1:20" ht="29.1" customHeight="1">
      <c r="A43" s="392"/>
      <c r="B43" s="313" t="s">
        <v>92</v>
      </c>
      <c r="C43" s="290"/>
      <c r="D43" s="290"/>
      <c r="E43" s="290"/>
      <c r="F43" s="290"/>
      <c r="G43" s="290"/>
      <c r="H43" s="290"/>
      <c r="I43" s="290"/>
      <c r="J43" s="290"/>
      <c r="K43" s="291">
        <f>SUM(K39:K42)</f>
        <v>45000000</v>
      </c>
      <c r="L43" s="291">
        <f>SUM(L40:L42)</f>
        <v>45000000</v>
      </c>
      <c r="M43" s="291">
        <f t="shared" ref="M43:P43" si="6">SUM(M39:M42)</f>
        <v>295500000</v>
      </c>
      <c r="N43" s="280">
        <f t="shared" si="6"/>
        <v>30000000</v>
      </c>
      <c r="O43" s="280">
        <f t="shared" si="6"/>
        <v>180000000</v>
      </c>
      <c r="P43" s="280">
        <f t="shared" si="6"/>
        <v>175000000</v>
      </c>
      <c r="Q43" s="280">
        <f>SUM(Q39:Q42)</f>
        <v>195000000</v>
      </c>
      <c r="R43" s="280">
        <f>SUM(R39:R42)</f>
        <v>75000000</v>
      </c>
      <c r="S43" s="851">
        <f>SUM(S39:S42)</f>
        <v>485000000</v>
      </c>
      <c r="T43" s="280">
        <f t="shared" si="0"/>
        <v>410000000</v>
      </c>
    </row>
    <row r="44" spans="1:20" ht="29.1" customHeight="1">
      <c r="A44" s="476">
        <v>2720</v>
      </c>
      <c r="B44" s="313" t="s">
        <v>902</v>
      </c>
      <c r="C44" s="290"/>
      <c r="D44" s="290"/>
      <c r="E44" s="290"/>
      <c r="F44" s="290"/>
      <c r="G44" s="290"/>
      <c r="H44" s="290"/>
      <c r="I44" s="290"/>
      <c r="J44" s="290"/>
      <c r="K44" s="291"/>
      <c r="L44" s="291"/>
      <c r="M44" s="291"/>
      <c r="N44" s="280"/>
      <c r="O44" s="280">
        <v>0</v>
      </c>
      <c r="P44" s="280">
        <v>0</v>
      </c>
      <c r="Q44" s="280">
        <v>0</v>
      </c>
      <c r="R44" s="280">
        <v>0</v>
      </c>
      <c r="S44" s="851">
        <v>0</v>
      </c>
      <c r="T44" s="246">
        <f t="shared" si="0"/>
        <v>0</v>
      </c>
    </row>
    <row r="45" spans="1:20" ht="29.1" customHeight="1">
      <c r="A45" s="392">
        <v>27202</v>
      </c>
      <c r="B45" s="305" t="s">
        <v>901</v>
      </c>
      <c r="C45" s="290"/>
      <c r="D45" s="290"/>
      <c r="E45" s="290"/>
      <c r="F45" s="290"/>
      <c r="G45" s="290"/>
      <c r="H45" s="290"/>
      <c r="I45" s="290"/>
      <c r="J45" s="290"/>
      <c r="K45" s="291"/>
      <c r="L45" s="291"/>
      <c r="M45" s="291"/>
      <c r="N45" s="280"/>
      <c r="O45" s="280"/>
      <c r="P45" s="246">
        <v>450000000</v>
      </c>
      <c r="Q45" s="246"/>
      <c r="R45" s="246">
        <v>464750000</v>
      </c>
      <c r="S45" s="840">
        <v>0</v>
      </c>
      <c r="T45" s="246">
        <f t="shared" si="0"/>
        <v>-464750000</v>
      </c>
    </row>
    <row r="46" spans="1:20" ht="29.1" customHeight="1">
      <c r="A46" s="392"/>
      <c r="B46" s="313" t="s">
        <v>92</v>
      </c>
      <c r="C46" s="290"/>
      <c r="D46" s="290"/>
      <c r="E46" s="290"/>
      <c r="F46" s="290"/>
      <c r="G46" s="290"/>
      <c r="H46" s="290"/>
      <c r="I46" s="290"/>
      <c r="J46" s="290"/>
      <c r="K46" s="291"/>
      <c r="L46" s="291"/>
      <c r="M46" s="291"/>
      <c r="N46" s="280"/>
      <c r="O46" s="280"/>
      <c r="P46" s="280">
        <f>SUM(P45)</f>
        <v>450000000</v>
      </c>
      <c r="Q46" s="280">
        <f>SUM(Q45)</f>
        <v>0</v>
      </c>
      <c r="R46" s="280">
        <f>SUM(R45)</f>
        <v>464750000</v>
      </c>
      <c r="S46" s="851">
        <f>SUM(S45)</f>
        <v>0</v>
      </c>
      <c r="T46" s="280">
        <f t="shared" si="0"/>
        <v>-464750000</v>
      </c>
    </row>
    <row r="47" spans="1:20" ht="29.1" customHeight="1">
      <c r="A47" s="392"/>
      <c r="B47" s="313" t="s">
        <v>37</v>
      </c>
      <c r="C47" s="290"/>
      <c r="D47" s="290"/>
      <c r="E47" s="290"/>
      <c r="F47" s="290"/>
      <c r="G47" s="290"/>
      <c r="H47" s="290"/>
      <c r="I47" s="290"/>
      <c r="J47" s="290"/>
      <c r="K47" s="291">
        <f ca="1">K43+K36+K31+K22+K7</f>
        <v>17301838836</v>
      </c>
      <c r="L47" s="291" t="e">
        <f>L43+L36+L31+L22+L7+#REF!</f>
        <v>#REF!</v>
      </c>
      <c r="M47" s="291">
        <f>M43+M36+M31+M22+M7</f>
        <v>28561928370</v>
      </c>
      <c r="N47" s="280">
        <f>N43+N36+N31+N22+N7</f>
        <v>5900000000</v>
      </c>
      <c r="O47" s="280">
        <f>O43+O36+O31+O22+O7</f>
        <v>6943665380</v>
      </c>
      <c r="P47" s="280">
        <f>P43+P36+P31+P22+P7+P46</f>
        <v>8618624100</v>
      </c>
      <c r="Q47" s="280">
        <f>Q43+Q36+Q31+Q22+Q7+Q46</f>
        <v>8688624100</v>
      </c>
      <c r="R47" s="280">
        <f>R43+R36+R31+R22+R7+R46</f>
        <v>9613454100</v>
      </c>
      <c r="S47" s="851">
        <f>S43+S36+S31+S22+S7+S46</f>
        <v>11080616228</v>
      </c>
      <c r="T47" s="280">
        <f t="shared" si="0"/>
        <v>1467162128</v>
      </c>
    </row>
  </sheetData>
  <pageMargins left="0.7" right="0.7" top="0.75" bottom="0.75" header="0.3" footer="0.3"/>
  <pageSetup scale="50" orientation="portrait" r:id="rId1"/>
  <headerFooter>
    <oddHeader>&amp;C&amp;"Algerian,Bold"&amp;36 HAY'ADDA SIRDOONKA QARANKA</oddHeader>
    <oddFooter>&amp;R&amp;"Times New Roman,Bold"&amp;18 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A25" zoomScale="60" workbookViewId="0">
      <selection activeCell="U38" sqref="U38"/>
    </sheetView>
  </sheetViews>
  <sheetFormatPr defaultRowHeight="32.1" customHeight="1"/>
  <cols>
    <col min="1" max="1" width="18.1640625" style="399" bestFit="1" customWidth="1"/>
    <col min="2" max="2" width="77.5" style="399" customWidth="1"/>
    <col min="3" max="4" width="9.33203125" style="399" hidden="1" customWidth="1"/>
    <col min="5" max="5" width="22.33203125" style="399" hidden="1" customWidth="1"/>
    <col min="6" max="6" width="24.33203125" style="399" hidden="1" customWidth="1"/>
    <col min="7" max="15" width="9.33203125" style="399" hidden="1" customWidth="1"/>
    <col min="16" max="16" width="24.5" style="399" hidden="1" customWidth="1"/>
    <col min="17" max="17" width="0.33203125" style="561" hidden="1" customWidth="1"/>
    <col min="18" max="19" width="27.6640625" style="399" hidden="1" customWidth="1"/>
    <col min="20" max="21" width="27.6640625" style="399" customWidth="1"/>
    <col min="22" max="22" width="24.5" style="399" bestFit="1" customWidth="1"/>
    <col min="23" max="16384" width="9.33203125" style="399"/>
  </cols>
  <sheetData>
    <row r="1" spans="1:22" ht="32.1" customHeight="1">
      <c r="A1" s="478" t="s">
        <v>40</v>
      </c>
      <c r="B1" s="545" t="s">
        <v>1315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280"/>
      <c r="R1" s="280"/>
      <c r="S1" s="280"/>
      <c r="T1" s="280"/>
      <c r="U1" s="280"/>
      <c r="V1" s="491"/>
    </row>
    <row r="2" spans="1:22" ht="32.1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115</v>
      </c>
      <c r="L2" s="482" t="s">
        <v>151</v>
      </c>
      <c r="M2" s="482" t="s">
        <v>257</v>
      </c>
      <c r="N2" s="482" t="s">
        <v>440</v>
      </c>
      <c r="O2" s="482" t="s">
        <v>443</v>
      </c>
      <c r="P2" s="482" t="s">
        <v>443</v>
      </c>
      <c r="Q2" s="286" t="s">
        <v>806</v>
      </c>
      <c r="R2" s="286" t="s">
        <v>872</v>
      </c>
      <c r="S2" s="286" t="s">
        <v>972</v>
      </c>
      <c r="T2" s="286" t="s">
        <v>1159</v>
      </c>
      <c r="U2" s="286" t="s">
        <v>1319</v>
      </c>
      <c r="V2" s="286" t="s">
        <v>56</v>
      </c>
    </row>
    <row r="3" spans="1:22" ht="32.1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46"/>
      <c r="R3" s="246"/>
      <c r="S3" s="246"/>
      <c r="T3" s="246"/>
      <c r="U3" s="246"/>
      <c r="V3" s="292"/>
    </row>
    <row r="4" spans="1:22" ht="32.1" customHeight="1">
      <c r="A4" s="392">
        <v>21101</v>
      </c>
      <c r="B4" s="246" t="s">
        <v>28</v>
      </c>
      <c r="C4" s="292"/>
      <c r="D4" s="292"/>
      <c r="E4" s="292"/>
      <c r="F4" s="292"/>
      <c r="G4" s="292"/>
      <c r="H4" s="292"/>
      <c r="I4" s="290">
        <v>321389200</v>
      </c>
      <c r="J4" s="582">
        <f>348925200+54000000+6000000</f>
        <v>408925200</v>
      </c>
      <c r="K4" s="582">
        <f>408925200+12000000+4149600+936000-936000+1887600</f>
        <v>426962400</v>
      </c>
      <c r="L4" s="582">
        <v>731890800</v>
      </c>
      <c r="M4" s="582">
        <f>shaqaalaha2011!H30+36000000+64740000</f>
        <v>1238292000</v>
      </c>
      <c r="N4" s="582">
        <v>1285471200</v>
      </c>
      <c r="O4" s="679">
        <v>0</v>
      </c>
      <c r="P4" s="249">
        <v>400000000</v>
      </c>
      <c r="Q4" s="249">
        <v>400000000</v>
      </c>
      <c r="R4" s="249">
        <v>500000000</v>
      </c>
      <c r="S4" s="249">
        <v>500000000</v>
      </c>
      <c r="T4" s="249">
        <v>500000000</v>
      </c>
      <c r="U4" s="848">
        <v>800000000</v>
      </c>
      <c r="V4" s="274">
        <f>U4-T4</f>
        <v>300000000</v>
      </c>
    </row>
    <row r="5" spans="1:22" ht="32.1" customHeight="1">
      <c r="A5" s="392">
        <v>21102</v>
      </c>
      <c r="B5" s="246" t="s">
        <v>29</v>
      </c>
      <c r="C5" s="246">
        <v>7553000</v>
      </c>
      <c r="D5" s="246">
        <v>0</v>
      </c>
      <c r="E5" s="246">
        <v>0</v>
      </c>
      <c r="F5" s="246">
        <v>45000000</v>
      </c>
      <c r="G5" s="246">
        <f>F5</f>
        <v>45000000</v>
      </c>
      <c r="H5" s="246">
        <v>45000000</v>
      </c>
      <c r="I5" s="246">
        <v>0</v>
      </c>
      <c r="J5" s="249">
        <v>0</v>
      </c>
      <c r="K5" s="249">
        <v>0</v>
      </c>
      <c r="L5" s="249">
        <v>45000000</v>
      </c>
      <c r="M5" s="249">
        <f>L5*200%</f>
        <v>90000000</v>
      </c>
      <c r="N5" s="249">
        <v>187200000</v>
      </c>
      <c r="O5" s="249">
        <v>0</v>
      </c>
      <c r="P5" s="249">
        <v>0</v>
      </c>
      <c r="Q5" s="249">
        <v>100000000</v>
      </c>
      <c r="R5" s="249">
        <v>100000000</v>
      </c>
      <c r="S5" s="249">
        <v>100000000</v>
      </c>
      <c r="T5" s="249">
        <v>200000000</v>
      </c>
      <c r="U5" s="848">
        <v>200000000</v>
      </c>
      <c r="V5" s="274">
        <f t="shared" ref="V5:V38" si="0">U5-T5</f>
        <v>0</v>
      </c>
    </row>
    <row r="6" spans="1:22" ht="32.1" customHeight="1">
      <c r="A6" s="392">
        <v>21103</v>
      </c>
      <c r="B6" s="246" t="s">
        <v>30</v>
      </c>
      <c r="C6" s="246">
        <v>8400000</v>
      </c>
      <c r="D6" s="246">
        <v>10800000</v>
      </c>
      <c r="E6" s="246">
        <v>10800000</v>
      </c>
      <c r="F6" s="246">
        <v>21600000</v>
      </c>
      <c r="G6" s="246">
        <v>33288000</v>
      </c>
      <c r="H6" s="246">
        <v>33288000</v>
      </c>
      <c r="I6" s="246">
        <v>32400000</v>
      </c>
      <c r="J6" s="249">
        <f>30888000+32400000+1440000</f>
        <v>64728000</v>
      </c>
      <c r="K6" s="249">
        <f>64728000+1440000+7920000</f>
        <v>74088000</v>
      </c>
      <c r="L6" s="249">
        <v>166968000</v>
      </c>
      <c r="M6" s="249">
        <v>166968000</v>
      </c>
      <c r="N6" s="249">
        <v>231768000</v>
      </c>
      <c r="O6" s="249">
        <v>0</v>
      </c>
      <c r="P6" s="249">
        <v>0</v>
      </c>
      <c r="Q6" s="249">
        <v>0</v>
      </c>
      <c r="R6" s="249">
        <v>0</v>
      </c>
      <c r="S6" s="249">
        <v>0</v>
      </c>
      <c r="T6" s="249">
        <v>0</v>
      </c>
      <c r="U6" s="848">
        <v>0</v>
      </c>
      <c r="V6" s="274">
        <f t="shared" si="0"/>
        <v>0</v>
      </c>
    </row>
    <row r="7" spans="1:22" ht="32.1" customHeight="1">
      <c r="A7" s="392">
        <v>21105</v>
      </c>
      <c r="B7" s="246" t="s">
        <v>525</v>
      </c>
      <c r="C7" s="246"/>
      <c r="D7" s="246"/>
      <c r="E7" s="246"/>
      <c r="F7" s="246"/>
      <c r="G7" s="246"/>
      <c r="H7" s="246"/>
      <c r="I7" s="246"/>
      <c r="J7" s="249"/>
      <c r="K7" s="249"/>
      <c r="L7" s="249"/>
      <c r="M7" s="249">
        <v>834000000</v>
      </c>
      <c r="N7" s="249">
        <f>M7</f>
        <v>834000000</v>
      </c>
      <c r="O7" s="249">
        <v>0</v>
      </c>
      <c r="P7" s="249">
        <v>0</v>
      </c>
      <c r="Q7" s="249">
        <v>0</v>
      </c>
      <c r="R7" s="249">
        <v>0</v>
      </c>
      <c r="S7" s="249">
        <v>0</v>
      </c>
      <c r="T7" s="249">
        <v>0</v>
      </c>
      <c r="U7" s="848">
        <v>0</v>
      </c>
      <c r="V7" s="274">
        <f t="shared" si="0"/>
        <v>0</v>
      </c>
    </row>
    <row r="8" spans="1:22" ht="32.1" customHeight="1">
      <c r="A8" s="392"/>
      <c r="B8" s="280" t="s">
        <v>92</v>
      </c>
      <c r="C8" s="246">
        <v>32399990</v>
      </c>
      <c r="D8" s="246">
        <v>2895816</v>
      </c>
      <c r="E8" s="246">
        <v>2895816</v>
      </c>
      <c r="F8" s="246">
        <v>6655816</v>
      </c>
      <c r="G8" s="246">
        <v>59200000</v>
      </c>
      <c r="H8" s="246">
        <v>74000000</v>
      </c>
      <c r="I8" s="246">
        <v>55115200</v>
      </c>
      <c r="J8" s="249">
        <v>55000000</v>
      </c>
      <c r="K8" s="249">
        <v>39873274</v>
      </c>
      <c r="L8" s="285">
        <f>SUM(L4:L6)</f>
        <v>943858800</v>
      </c>
      <c r="M8" s="285">
        <f>SUM(M3:M7)</f>
        <v>2329260000</v>
      </c>
      <c r="N8" s="285">
        <f>SUM(N4:N7)</f>
        <v>2538439200</v>
      </c>
      <c r="O8" s="285">
        <v>0</v>
      </c>
      <c r="P8" s="285">
        <f t="shared" ref="P8:U8" si="1">SUM(P4:P7)</f>
        <v>400000000</v>
      </c>
      <c r="Q8" s="285">
        <f t="shared" si="1"/>
        <v>500000000</v>
      </c>
      <c r="R8" s="285">
        <f t="shared" si="1"/>
        <v>600000000</v>
      </c>
      <c r="S8" s="285">
        <f t="shared" si="1"/>
        <v>600000000</v>
      </c>
      <c r="T8" s="285">
        <f t="shared" si="1"/>
        <v>700000000</v>
      </c>
      <c r="U8" s="849">
        <f t="shared" si="1"/>
        <v>1000000000</v>
      </c>
      <c r="V8" s="279">
        <f t="shared" si="0"/>
        <v>300000000</v>
      </c>
    </row>
    <row r="9" spans="1:22" ht="32.1" customHeight="1">
      <c r="A9" s="476">
        <v>220</v>
      </c>
      <c r="B9" s="280" t="s">
        <v>225</v>
      </c>
      <c r="C9" s="246">
        <v>0</v>
      </c>
      <c r="D9" s="246">
        <v>0</v>
      </c>
      <c r="E9" s="246">
        <v>0</v>
      </c>
      <c r="F9" s="246">
        <v>0</v>
      </c>
      <c r="G9" s="246">
        <v>16000000</v>
      </c>
      <c r="H9" s="246">
        <v>20000000</v>
      </c>
      <c r="I9" s="246">
        <v>14896000</v>
      </c>
      <c r="J9" s="249">
        <v>25000000</v>
      </c>
      <c r="K9" s="249">
        <v>7448000</v>
      </c>
      <c r="L9" s="249"/>
      <c r="M9" s="249"/>
      <c r="N9" s="249"/>
      <c r="O9" s="249">
        <v>0</v>
      </c>
      <c r="P9" s="249"/>
      <c r="Q9" s="249"/>
      <c r="R9" s="249"/>
      <c r="S9" s="249"/>
      <c r="T9" s="249"/>
      <c r="U9" s="848"/>
      <c r="V9" s="274">
        <f t="shared" si="0"/>
        <v>0</v>
      </c>
    </row>
    <row r="10" spans="1:22" ht="32.1" customHeight="1">
      <c r="A10" s="476">
        <v>2210</v>
      </c>
      <c r="B10" s="280" t="s">
        <v>226</v>
      </c>
      <c r="C10" s="246"/>
      <c r="D10" s="246"/>
      <c r="E10" s="246"/>
      <c r="F10" s="246"/>
      <c r="G10" s="246"/>
      <c r="H10" s="246"/>
      <c r="I10" s="246"/>
      <c r="J10" s="249"/>
      <c r="K10" s="249">
        <v>9682400</v>
      </c>
      <c r="L10" s="249"/>
      <c r="M10" s="249"/>
      <c r="N10" s="249"/>
      <c r="O10" s="249">
        <v>0</v>
      </c>
      <c r="P10" s="249"/>
      <c r="Q10" s="249"/>
      <c r="R10" s="249"/>
      <c r="S10" s="249"/>
      <c r="T10" s="249"/>
      <c r="U10" s="848"/>
      <c r="V10" s="274">
        <f t="shared" si="0"/>
        <v>0</v>
      </c>
    </row>
    <row r="11" spans="1:22" ht="32.1" customHeight="1">
      <c r="A11" s="392">
        <v>22101</v>
      </c>
      <c r="B11" s="246" t="s">
        <v>33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9">
        <v>0</v>
      </c>
      <c r="K11" s="249">
        <v>14896000</v>
      </c>
      <c r="L11" s="249">
        <v>30906200</v>
      </c>
      <c r="M11" s="249">
        <f>30906200*70%+20000000</f>
        <v>41634340</v>
      </c>
      <c r="N11" s="249">
        <f>30906200*70%+20000000</f>
        <v>41634340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0</v>
      </c>
      <c r="U11" s="848">
        <v>0</v>
      </c>
      <c r="V11" s="274">
        <f t="shared" si="0"/>
        <v>0</v>
      </c>
    </row>
    <row r="12" spans="1:22" ht="32.1" customHeight="1">
      <c r="A12" s="392">
        <v>22104</v>
      </c>
      <c r="B12" s="246" t="s">
        <v>157</v>
      </c>
      <c r="C12" s="246"/>
      <c r="D12" s="246"/>
      <c r="E12" s="246"/>
      <c r="F12" s="246"/>
      <c r="G12" s="246"/>
      <c r="H12" s="246"/>
      <c r="I12" s="246"/>
      <c r="J12" s="249"/>
      <c r="K12" s="249">
        <v>115000000</v>
      </c>
      <c r="L12" s="249">
        <v>118865600</v>
      </c>
      <c r="M12" s="249">
        <f>83205920+20000000</f>
        <v>103205920</v>
      </c>
      <c r="N12" s="249">
        <f>83205920+20000000</f>
        <v>103205920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848">
        <v>0</v>
      </c>
      <c r="V12" s="274">
        <f t="shared" si="0"/>
        <v>0</v>
      </c>
    </row>
    <row r="13" spans="1:22" ht="32.1" customHeight="1">
      <c r="A13" s="392">
        <v>22105</v>
      </c>
      <c r="B13" s="246" t="s">
        <v>135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20000000</v>
      </c>
      <c r="I13" s="246">
        <v>0</v>
      </c>
      <c r="J13" s="249">
        <v>20000000</v>
      </c>
      <c r="K13" s="249">
        <v>0</v>
      </c>
      <c r="L13" s="249">
        <v>11954040</v>
      </c>
      <c r="M13" s="249">
        <f>11954040*70%</f>
        <v>8367827.9999999991</v>
      </c>
      <c r="N13" s="249">
        <f>11954040*70%</f>
        <v>8367827.9999999991</v>
      </c>
      <c r="O13" s="249">
        <v>0</v>
      </c>
      <c r="P13" s="249">
        <v>0</v>
      </c>
      <c r="Q13" s="249">
        <v>0</v>
      </c>
      <c r="R13" s="249">
        <v>0</v>
      </c>
      <c r="S13" s="249">
        <v>495550000</v>
      </c>
      <c r="T13" s="249">
        <v>495550000</v>
      </c>
      <c r="U13" s="848">
        <v>495550000</v>
      </c>
      <c r="V13" s="274">
        <f t="shared" si="0"/>
        <v>0</v>
      </c>
    </row>
    <row r="14" spans="1:22" ht="32.1" customHeight="1">
      <c r="A14" s="392">
        <v>22106</v>
      </c>
      <c r="B14" s="246" t="s">
        <v>126</v>
      </c>
      <c r="C14" s="246"/>
      <c r="D14" s="246">
        <v>0</v>
      </c>
      <c r="E14" s="246">
        <v>0</v>
      </c>
      <c r="F14" s="246">
        <v>22500000</v>
      </c>
      <c r="G14" s="246">
        <v>0</v>
      </c>
      <c r="H14" s="246">
        <v>40000000</v>
      </c>
      <c r="I14" s="246">
        <v>0</v>
      </c>
      <c r="J14" s="249">
        <v>0</v>
      </c>
      <c r="K14" s="249">
        <v>0</v>
      </c>
      <c r="L14" s="249">
        <v>12289200</v>
      </c>
      <c r="M14" s="249">
        <f>12289200*70%+15000000</f>
        <v>23602440</v>
      </c>
      <c r="N14" s="249">
        <v>0</v>
      </c>
      <c r="O14" s="249">
        <v>0</v>
      </c>
      <c r="P14" s="249">
        <v>0</v>
      </c>
      <c r="Q14" s="249">
        <v>100000000</v>
      </c>
      <c r="R14" s="249">
        <v>100000000</v>
      </c>
      <c r="S14" s="249">
        <v>100000000</v>
      </c>
      <c r="T14" s="249">
        <v>100000000</v>
      </c>
      <c r="U14" s="848">
        <v>100000000</v>
      </c>
      <c r="V14" s="274">
        <f t="shared" si="0"/>
        <v>0</v>
      </c>
    </row>
    <row r="15" spans="1:22" ht="32.1" customHeight="1">
      <c r="A15" s="392">
        <v>22107</v>
      </c>
      <c r="B15" s="246" t="s">
        <v>1230</v>
      </c>
      <c r="C15" s="246"/>
      <c r="D15" s="246"/>
      <c r="E15" s="246"/>
      <c r="F15" s="246"/>
      <c r="G15" s="246"/>
      <c r="H15" s="246"/>
      <c r="I15" s="246"/>
      <c r="J15" s="249"/>
      <c r="K15" s="249">
        <v>5958400</v>
      </c>
      <c r="L15" s="249">
        <v>60716400</v>
      </c>
      <c r="M15" s="249">
        <f>42501480+10000000</f>
        <v>52501480</v>
      </c>
      <c r="N15" s="249">
        <f>M15*70%</f>
        <v>36751036</v>
      </c>
      <c r="O15" s="249">
        <v>0</v>
      </c>
      <c r="P15" s="249">
        <v>0</v>
      </c>
      <c r="Q15" s="249">
        <v>200000000</v>
      </c>
      <c r="R15" s="249">
        <v>200000000</v>
      </c>
      <c r="S15" s="249">
        <v>200000000</v>
      </c>
      <c r="T15" s="249">
        <v>350000000</v>
      </c>
      <c r="U15" s="848">
        <v>350000000</v>
      </c>
      <c r="V15" s="274">
        <f t="shared" si="0"/>
        <v>0</v>
      </c>
    </row>
    <row r="16" spans="1:22" ht="32.1" customHeight="1">
      <c r="A16" s="392">
        <v>22109</v>
      </c>
      <c r="B16" s="246" t="s">
        <v>136</v>
      </c>
      <c r="C16" s="246">
        <v>0</v>
      </c>
      <c r="D16" s="246">
        <v>0</v>
      </c>
      <c r="E16" s="246">
        <v>0</v>
      </c>
      <c r="F16" s="246">
        <v>0</v>
      </c>
      <c r="G16" s="246">
        <v>2400000</v>
      </c>
      <c r="H16" s="246">
        <v>3000000</v>
      </c>
      <c r="I16" s="246">
        <v>1862000</v>
      </c>
      <c r="J16" s="249">
        <v>1862000</v>
      </c>
      <c r="K16" s="285">
        <f>SUM(K8:K15)</f>
        <v>192858074</v>
      </c>
      <c r="L16" s="249">
        <v>42492900</v>
      </c>
      <c r="M16" s="249">
        <f>42492900*70%+30000000</f>
        <v>59745030</v>
      </c>
      <c r="N16" s="249">
        <f>42492900*70%+30000000</f>
        <v>59745030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848">
        <v>0</v>
      </c>
      <c r="V16" s="274">
        <f t="shared" si="0"/>
        <v>0</v>
      </c>
    </row>
    <row r="17" spans="1:22" ht="32.1" customHeight="1">
      <c r="A17" s="392">
        <v>22112</v>
      </c>
      <c r="B17" s="246" t="s">
        <v>35</v>
      </c>
      <c r="C17" s="280">
        <f>SUM(C13:C16)</f>
        <v>0</v>
      </c>
      <c r="D17" s="280">
        <f>SUM(D13:D16)</f>
        <v>0</v>
      </c>
      <c r="E17" s="280">
        <v>0</v>
      </c>
      <c r="F17" s="280">
        <f>SUM(F13:F16)</f>
        <v>22500000</v>
      </c>
      <c r="G17" s="280">
        <f>SUM(G13:G16)</f>
        <v>2400000</v>
      </c>
      <c r="H17" s="280">
        <f>SUM(H13:H16)</f>
        <v>63000000</v>
      </c>
      <c r="I17" s="280">
        <f>SUM(I13:I16)</f>
        <v>1862000</v>
      </c>
      <c r="J17" s="285">
        <f>SUM(J13:J16)</f>
        <v>21862000</v>
      </c>
      <c r="K17" s="285"/>
      <c r="L17" s="249">
        <v>51971600</v>
      </c>
      <c r="M17" s="249">
        <f>36380120+5000000</f>
        <v>41380120</v>
      </c>
      <c r="N17" s="249">
        <f>36380120+5000000</f>
        <v>41380120</v>
      </c>
      <c r="O17" s="249">
        <v>0</v>
      </c>
      <c r="P17" s="249">
        <v>0</v>
      </c>
      <c r="Q17" s="249">
        <v>0</v>
      </c>
      <c r="R17" s="249">
        <v>0</v>
      </c>
      <c r="S17" s="249">
        <v>0</v>
      </c>
      <c r="T17" s="249">
        <v>9000000</v>
      </c>
      <c r="U17" s="848">
        <v>9000000</v>
      </c>
      <c r="V17" s="274">
        <f t="shared" si="0"/>
        <v>0</v>
      </c>
    </row>
    <row r="18" spans="1:22" ht="32.1" customHeight="1">
      <c r="A18" s="392">
        <v>22125</v>
      </c>
      <c r="B18" s="246" t="s">
        <v>980</v>
      </c>
      <c r="C18" s="246"/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9">
        <v>0</v>
      </c>
      <c r="K18" s="249">
        <v>28488600</v>
      </c>
      <c r="L18" s="249">
        <f>309000000+18372000</f>
        <v>327372000</v>
      </c>
      <c r="M18" s="249">
        <f>327372000*70%</f>
        <v>229160400</v>
      </c>
      <c r="N18" s="249">
        <v>0</v>
      </c>
      <c r="O18" s="249">
        <v>0</v>
      </c>
      <c r="P18" s="249">
        <v>0</v>
      </c>
      <c r="Q18" s="249">
        <v>0</v>
      </c>
      <c r="R18" s="249">
        <v>200000000</v>
      </c>
      <c r="S18" s="249">
        <v>200000000</v>
      </c>
      <c r="T18" s="249">
        <v>300000000</v>
      </c>
      <c r="U18" s="848">
        <v>300000000</v>
      </c>
      <c r="V18" s="274">
        <f t="shared" si="0"/>
        <v>0</v>
      </c>
    </row>
    <row r="19" spans="1:22" ht="32.1" customHeight="1">
      <c r="A19" s="476"/>
      <c r="B19" s="280" t="s">
        <v>92</v>
      </c>
      <c r="C19" s="246"/>
      <c r="D19" s="246"/>
      <c r="E19" s="246"/>
      <c r="F19" s="246">
        <v>100000000</v>
      </c>
      <c r="G19" s="246">
        <v>0</v>
      </c>
      <c r="H19" s="246">
        <v>0</v>
      </c>
      <c r="I19" s="246">
        <v>0</v>
      </c>
      <c r="J19" s="249">
        <v>0</v>
      </c>
      <c r="K19" s="285">
        <f>SUM(K18:K18)</f>
        <v>28488600</v>
      </c>
      <c r="L19" s="285">
        <f>SUM(L11:L18)</f>
        <v>656567940</v>
      </c>
      <c r="M19" s="285">
        <f>SUM(M11:M18)</f>
        <v>559597558</v>
      </c>
      <c r="N19" s="285">
        <f>SUM(N11:N18)</f>
        <v>291084274</v>
      </c>
      <c r="O19" s="285">
        <v>0</v>
      </c>
      <c r="P19" s="285">
        <v>0</v>
      </c>
      <c r="Q19" s="285">
        <f>SUM(Q11:Q18)</f>
        <v>300000000</v>
      </c>
      <c r="R19" s="285">
        <f>SUM(R11:R18)</f>
        <v>500000000</v>
      </c>
      <c r="S19" s="285">
        <f>SUM(S11:S18)</f>
        <v>995550000</v>
      </c>
      <c r="T19" s="285">
        <f>SUM(T11:T18)</f>
        <v>1254550000</v>
      </c>
      <c r="U19" s="849">
        <f>SUM(U11:U18)</f>
        <v>1254550000</v>
      </c>
      <c r="V19" s="274">
        <f t="shared" si="0"/>
        <v>0</v>
      </c>
    </row>
    <row r="20" spans="1:22" ht="32.1" customHeight="1">
      <c r="A20" s="476">
        <v>2220</v>
      </c>
      <c r="B20" s="280" t="s">
        <v>240</v>
      </c>
      <c r="C20" s="280" t="e">
        <f>SUM(#REF!)</f>
        <v>#REF!</v>
      </c>
      <c r="D20" s="280" t="e">
        <f>SUM(#REF!)</f>
        <v>#REF!</v>
      </c>
      <c r="E20" s="280">
        <f>SUM(E18:E18)</f>
        <v>0</v>
      </c>
      <c r="F20" s="280">
        <f>SUM(F18:F19)</f>
        <v>100000000</v>
      </c>
      <c r="G20" s="280">
        <f>SUM(G18:G19)</f>
        <v>0</v>
      </c>
      <c r="H20" s="280">
        <f>SUM(H18:H19)</f>
        <v>0</v>
      </c>
      <c r="I20" s="280">
        <f>SUM(I18:I19)</f>
        <v>0</v>
      </c>
      <c r="J20" s="285">
        <f>SUM(J18:J19)</f>
        <v>0</v>
      </c>
      <c r="K20" s="285"/>
      <c r="L20" s="285"/>
      <c r="M20" s="285"/>
      <c r="N20" s="285"/>
      <c r="O20" s="285">
        <v>0</v>
      </c>
      <c r="P20" s="285"/>
      <c r="Q20" s="249"/>
      <c r="R20" s="249"/>
      <c r="S20" s="249"/>
      <c r="T20" s="249"/>
      <c r="U20" s="848"/>
      <c r="V20" s="274">
        <f t="shared" si="0"/>
        <v>0</v>
      </c>
    </row>
    <row r="21" spans="1:22" ht="32.1" customHeight="1">
      <c r="A21" s="392">
        <v>22202</v>
      </c>
      <c r="B21" s="246" t="s">
        <v>133</v>
      </c>
      <c r="C21" s="246">
        <v>4799980</v>
      </c>
      <c r="D21" s="246">
        <v>0</v>
      </c>
      <c r="E21" s="246">
        <v>0</v>
      </c>
      <c r="F21" s="246">
        <v>11800000</v>
      </c>
      <c r="G21" s="246">
        <v>24000000</v>
      </c>
      <c r="H21" s="246">
        <v>30000000</v>
      </c>
      <c r="I21" s="246">
        <v>17875200</v>
      </c>
      <c r="J21" s="249">
        <v>17875200</v>
      </c>
      <c r="K21" s="249">
        <v>0</v>
      </c>
      <c r="L21" s="249">
        <v>431733818</v>
      </c>
      <c r="M21" s="249">
        <f>302213672+98211600</f>
        <v>400425272</v>
      </c>
      <c r="N21" s="249">
        <f>M21</f>
        <v>400425272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848">
        <v>0</v>
      </c>
      <c r="V21" s="274">
        <f t="shared" si="0"/>
        <v>0</v>
      </c>
    </row>
    <row r="22" spans="1:22" ht="32.1" customHeight="1">
      <c r="A22" s="392">
        <v>22203</v>
      </c>
      <c r="B22" s="246" t="s">
        <v>127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9">
        <v>0</v>
      </c>
      <c r="K22" s="249">
        <v>0</v>
      </c>
      <c r="L22" s="249">
        <v>59733400</v>
      </c>
      <c r="M22" s="249">
        <f>41813380+5000000</f>
        <v>46813380</v>
      </c>
      <c r="N22" s="249">
        <f>41813380+5000000</f>
        <v>46813380</v>
      </c>
      <c r="O22" s="249">
        <v>0</v>
      </c>
      <c r="P22" s="249">
        <v>0</v>
      </c>
      <c r="Q22" s="249"/>
      <c r="R22" s="249"/>
      <c r="S22" s="249"/>
      <c r="T22" s="249"/>
      <c r="U22" s="848"/>
      <c r="V22" s="274">
        <f t="shared" si="0"/>
        <v>0</v>
      </c>
    </row>
    <row r="23" spans="1:22" ht="32.1" customHeight="1">
      <c r="A23" s="392">
        <v>22204</v>
      </c>
      <c r="B23" s="246" t="s">
        <v>128</v>
      </c>
      <c r="C23" s="246">
        <v>15436990</v>
      </c>
      <c r="D23" s="246">
        <f>23000000+92-14000000</f>
        <v>9000092</v>
      </c>
      <c r="E23" s="246">
        <v>9000092</v>
      </c>
      <c r="F23" s="246">
        <v>29000092</v>
      </c>
      <c r="G23" s="246">
        <v>35200000</v>
      </c>
      <c r="H23" s="246">
        <v>44000000</v>
      </c>
      <c r="I23" s="246">
        <v>39873274</v>
      </c>
      <c r="J23" s="249">
        <v>49000000</v>
      </c>
      <c r="K23" s="249">
        <v>1862000</v>
      </c>
      <c r="L23" s="249">
        <v>88225200</v>
      </c>
      <c r="M23" s="249">
        <f>88225200*70%+40000000</f>
        <v>101757640</v>
      </c>
      <c r="N23" s="249">
        <f>88225200*70%+40000000</f>
        <v>101757640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848">
        <v>0</v>
      </c>
      <c r="V23" s="274">
        <f t="shared" si="0"/>
        <v>0</v>
      </c>
    </row>
    <row r="24" spans="1:22" ht="32.1" customHeight="1">
      <c r="A24" s="392">
        <v>22208</v>
      </c>
      <c r="B24" s="246" t="s">
        <v>485</v>
      </c>
      <c r="C24" s="246"/>
      <c r="D24" s="246"/>
      <c r="E24" s="246"/>
      <c r="F24" s="246"/>
      <c r="G24" s="246"/>
      <c r="H24" s="246"/>
      <c r="I24" s="246"/>
      <c r="J24" s="249"/>
      <c r="K24" s="249"/>
      <c r="L24" s="249">
        <v>54000000</v>
      </c>
      <c r="M24" s="249">
        <f>54000000/3500*6000</f>
        <v>92571428.571428582</v>
      </c>
      <c r="N24" s="249">
        <f>54000000/3500*6000</f>
        <v>92571428.571428582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49">
        <v>0</v>
      </c>
      <c r="U24" s="848">
        <v>0</v>
      </c>
      <c r="V24" s="274">
        <f t="shared" si="0"/>
        <v>0</v>
      </c>
    </row>
    <row r="25" spans="1:22" ht="32.1" customHeight="1">
      <c r="A25" s="392"/>
      <c r="B25" s="280" t="s">
        <v>92</v>
      </c>
      <c r="C25" s="246"/>
      <c r="D25" s="246"/>
      <c r="E25" s="246"/>
      <c r="F25" s="246">
        <v>0</v>
      </c>
      <c r="G25" s="246">
        <v>13280000</v>
      </c>
      <c r="H25" s="246">
        <v>16600000</v>
      </c>
      <c r="I25" s="246">
        <v>9682400</v>
      </c>
      <c r="J25" s="249">
        <v>9682400</v>
      </c>
      <c r="K25" s="285">
        <f>SUM(K21:K24)</f>
        <v>1862000</v>
      </c>
      <c r="L25" s="285" t="e">
        <f>#REF!+L23+L22+L21</f>
        <v>#REF!</v>
      </c>
      <c r="M25" s="285">
        <f>SUM(M21:M24)</f>
        <v>641567720.57142854</v>
      </c>
      <c r="N25" s="285">
        <f>SUM(N21:N24)</f>
        <v>641567720.57142854</v>
      </c>
      <c r="O25" s="285">
        <v>0</v>
      </c>
      <c r="P25" s="285">
        <f t="shared" ref="P25:U25" si="2">SUM(P21:P24)</f>
        <v>0</v>
      </c>
      <c r="Q25" s="285">
        <f t="shared" si="2"/>
        <v>0</v>
      </c>
      <c r="R25" s="285">
        <f t="shared" si="2"/>
        <v>0</v>
      </c>
      <c r="S25" s="285">
        <f t="shared" si="2"/>
        <v>0</v>
      </c>
      <c r="T25" s="285">
        <f t="shared" si="2"/>
        <v>0</v>
      </c>
      <c r="U25" s="849">
        <f t="shared" si="2"/>
        <v>0</v>
      </c>
      <c r="V25" s="274">
        <f t="shared" si="0"/>
        <v>0</v>
      </c>
    </row>
    <row r="26" spans="1:22" ht="32.1" customHeight="1">
      <c r="A26" s="476">
        <v>2230</v>
      </c>
      <c r="B26" s="280" t="s">
        <v>130</v>
      </c>
      <c r="C26" s="246"/>
      <c r="D26" s="246">
        <v>0</v>
      </c>
      <c r="E26" s="246">
        <v>0</v>
      </c>
      <c r="F26" s="246">
        <v>2000000</v>
      </c>
      <c r="G26" s="246">
        <v>16000000</v>
      </c>
      <c r="H26" s="246">
        <v>20000000</v>
      </c>
      <c r="I26" s="246">
        <v>14896000</v>
      </c>
      <c r="J26" s="249">
        <v>20000000</v>
      </c>
      <c r="K26" s="249"/>
      <c r="L26" s="249"/>
      <c r="M26" s="249"/>
      <c r="N26" s="249"/>
      <c r="O26" s="249">
        <v>0</v>
      </c>
      <c r="P26" s="249">
        <v>0</v>
      </c>
      <c r="Q26" s="249">
        <v>0</v>
      </c>
      <c r="R26" s="249">
        <v>0</v>
      </c>
      <c r="S26" s="249"/>
      <c r="T26" s="249"/>
      <c r="U26" s="848"/>
      <c r="V26" s="274">
        <f t="shared" si="0"/>
        <v>0</v>
      </c>
    </row>
    <row r="27" spans="1:22" ht="32.1" customHeight="1">
      <c r="A27" s="392">
        <v>22301</v>
      </c>
      <c r="B27" s="246" t="s">
        <v>345</v>
      </c>
      <c r="C27" s="246"/>
      <c r="D27" s="246">
        <v>0</v>
      </c>
      <c r="E27" s="246">
        <v>0</v>
      </c>
      <c r="F27" s="246">
        <v>9000200</v>
      </c>
      <c r="G27" s="246">
        <v>18400000</v>
      </c>
      <c r="H27" s="246">
        <v>23000000</v>
      </c>
      <c r="I27" s="246">
        <v>13704320</v>
      </c>
      <c r="J27" s="249">
        <v>13704320</v>
      </c>
      <c r="K27" s="249">
        <v>27588136</v>
      </c>
      <c r="L27" s="249">
        <v>84208136</v>
      </c>
      <c r="M27" s="249">
        <f>58945695*70%+10000000</f>
        <v>51261986.5</v>
      </c>
      <c r="N27" s="249">
        <f>58945695*70%+10000000</f>
        <v>51261986.5</v>
      </c>
      <c r="O27" s="249">
        <v>0</v>
      </c>
      <c r="P27" s="249">
        <v>0</v>
      </c>
      <c r="Q27" s="249">
        <v>0</v>
      </c>
      <c r="R27" s="249">
        <v>0</v>
      </c>
      <c r="S27" s="249">
        <v>0</v>
      </c>
      <c r="T27" s="249">
        <v>0</v>
      </c>
      <c r="U27" s="848">
        <v>0</v>
      </c>
      <c r="V27" s="274">
        <f t="shared" si="0"/>
        <v>0</v>
      </c>
    </row>
    <row r="28" spans="1:22" ht="32.1" customHeight="1">
      <c r="A28" s="392">
        <v>22302</v>
      </c>
      <c r="B28" s="246" t="s">
        <v>249</v>
      </c>
      <c r="C28" s="246">
        <v>2279995</v>
      </c>
      <c r="D28" s="246">
        <v>2545200</v>
      </c>
      <c r="E28" s="246">
        <v>2545200</v>
      </c>
      <c r="F28" s="246">
        <v>3505200</v>
      </c>
      <c r="G28" s="246">
        <v>9600000</v>
      </c>
      <c r="H28" s="246">
        <v>22000000</v>
      </c>
      <c r="I28" s="246">
        <v>16385600</v>
      </c>
      <c r="J28" s="249">
        <v>16385600</v>
      </c>
      <c r="K28" s="249">
        <v>3724000</v>
      </c>
      <c r="L28" s="249">
        <v>3724000</v>
      </c>
      <c r="M28" s="249">
        <f>3724000*70%</f>
        <v>2606800</v>
      </c>
      <c r="N28" s="249">
        <f>3724000*70%</f>
        <v>2606800</v>
      </c>
      <c r="O28" s="249">
        <v>0</v>
      </c>
      <c r="P28" s="249"/>
      <c r="Q28" s="249">
        <v>0</v>
      </c>
      <c r="R28" s="249">
        <v>0</v>
      </c>
      <c r="S28" s="249">
        <v>0</v>
      </c>
      <c r="T28" s="249">
        <v>30000000</v>
      </c>
      <c r="U28" s="848">
        <v>30000000</v>
      </c>
      <c r="V28" s="274">
        <f t="shared" si="0"/>
        <v>0</v>
      </c>
    </row>
    <row r="29" spans="1:22" ht="32.1" customHeight="1">
      <c r="A29" s="392"/>
      <c r="B29" s="280" t="s">
        <v>92</v>
      </c>
      <c r="C29" s="246">
        <v>15000000</v>
      </c>
      <c r="D29" s="246">
        <v>14000000</v>
      </c>
      <c r="E29" s="246">
        <v>9025900</v>
      </c>
      <c r="F29" s="246">
        <v>39837118</v>
      </c>
      <c r="G29" s="246">
        <v>0</v>
      </c>
      <c r="H29" s="246">
        <v>0</v>
      </c>
      <c r="I29" s="246">
        <v>0</v>
      </c>
      <c r="J29" s="249">
        <v>0</v>
      </c>
      <c r="K29" s="249">
        <v>0</v>
      </c>
      <c r="L29" s="285">
        <f>SUM(L27:L28)</f>
        <v>87932136</v>
      </c>
      <c r="M29" s="285">
        <f>SUM(M27:M28)</f>
        <v>53868786.5</v>
      </c>
      <c r="N29" s="285">
        <f>SUM(N27:N28)</f>
        <v>53868786.5</v>
      </c>
      <c r="O29" s="285">
        <v>0</v>
      </c>
      <c r="P29" s="285">
        <v>0</v>
      </c>
      <c r="Q29" s="249">
        <v>0</v>
      </c>
      <c r="R29" s="249">
        <f>SUM(R27:R28)</f>
        <v>0</v>
      </c>
      <c r="S29" s="249">
        <f>SUM(S27:S28)</f>
        <v>0</v>
      </c>
      <c r="T29" s="285">
        <f>SUM(T27:T28)</f>
        <v>30000000</v>
      </c>
      <c r="U29" s="849">
        <f>SUM(U27:U28)</f>
        <v>30000000</v>
      </c>
      <c r="V29" s="274">
        <f t="shared" si="0"/>
        <v>0</v>
      </c>
    </row>
    <row r="30" spans="1:22" ht="32.1" customHeight="1">
      <c r="A30" s="476">
        <v>270</v>
      </c>
      <c r="B30" s="280" t="s">
        <v>253</v>
      </c>
      <c r="C30" s="280">
        <f t="shared" ref="C30:J30" si="3">SUM(C21:C29)</f>
        <v>37516965</v>
      </c>
      <c r="D30" s="280">
        <f t="shared" si="3"/>
        <v>25545292</v>
      </c>
      <c r="E30" s="280">
        <f t="shared" si="3"/>
        <v>20571192</v>
      </c>
      <c r="F30" s="280">
        <f t="shared" si="3"/>
        <v>95142610</v>
      </c>
      <c r="G30" s="280">
        <f t="shared" si="3"/>
        <v>116480000</v>
      </c>
      <c r="H30" s="280">
        <f t="shared" si="3"/>
        <v>155600000</v>
      </c>
      <c r="I30" s="280">
        <f t="shared" si="3"/>
        <v>112416794</v>
      </c>
      <c r="J30" s="285">
        <f t="shared" si="3"/>
        <v>126647520</v>
      </c>
      <c r="K30" s="285">
        <v>0</v>
      </c>
      <c r="L30" s="285"/>
      <c r="M30" s="285"/>
      <c r="N30" s="285"/>
      <c r="O30" s="285">
        <v>0</v>
      </c>
      <c r="P30" s="285">
        <v>0</v>
      </c>
      <c r="Q30" s="249">
        <v>0</v>
      </c>
      <c r="R30" s="249">
        <v>0</v>
      </c>
      <c r="S30" s="249">
        <v>0</v>
      </c>
      <c r="T30" s="249">
        <v>0</v>
      </c>
      <c r="U30" s="848">
        <v>0</v>
      </c>
      <c r="V30" s="274">
        <f t="shared" si="0"/>
        <v>0</v>
      </c>
    </row>
    <row r="31" spans="1:22" ht="32.1" customHeight="1">
      <c r="A31" s="476">
        <v>2710</v>
      </c>
      <c r="B31" s="280" t="s">
        <v>252</v>
      </c>
      <c r="C31" s="280" t="e">
        <f>C30+C20+C17+#REF!+#REF!</f>
        <v>#REF!</v>
      </c>
      <c r="D31" s="280" t="e">
        <f>D30+D20+D17+#REF!+#REF!</f>
        <v>#REF!</v>
      </c>
      <c r="E31" s="280" t="e">
        <f>E30+E20+E17+#REF!+#REF!</f>
        <v>#REF!</v>
      </c>
      <c r="F31" s="280" t="e">
        <f>F30+F20+F17+#REF!+#REF!</f>
        <v>#REF!</v>
      </c>
      <c r="G31" s="280" t="e">
        <f>G30+G20+G17+#REF!+#REF!</f>
        <v>#REF!</v>
      </c>
      <c r="H31" s="280" t="e">
        <f>H30+H20+H17+#REF!+#REF!</f>
        <v>#REF!</v>
      </c>
      <c r="I31" s="280" t="e">
        <f>I30+I20+I17+#REF!+#REF!</f>
        <v>#REF!</v>
      </c>
      <c r="J31" s="285" t="e">
        <f>J30+J20+J17+#REF!+#REF!</f>
        <v>#REF!</v>
      </c>
      <c r="K31" s="285" t="e">
        <f>K30+#REF!+K25+K19+K16+#REF!</f>
        <v>#REF!</v>
      </c>
      <c r="L31" s="285"/>
      <c r="M31" s="285"/>
      <c r="N31" s="285"/>
      <c r="O31" s="285">
        <v>0</v>
      </c>
      <c r="P31" s="285">
        <v>0</v>
      </c>
      <c r="Q31" s="249">
        <v>0</v>
      </c>
      <c r="R31" s="249">
        <v>0</v>
      </c>
      <c r="S31" s="249">
        <v>0</v>
      </c>
      <c r="T31" s="249">
        <v>0</v>
      </c>
      <c r="U31" s="848">
        <v>0</v>
      </c>
      <c r="V31" s="274">
        <f t="shared" si="0"/>
        <v>0</v>
      </c>
    </row>
    <row r="32" spans="1:22" ht="32.1" customHeight="1">
      <c r="A32" s="392">
        <v>27601</v>
      </c>
      <c r="B32" s="246" t="s">
        <v>286</v>
      </c>
      <c r="C32" s="292"/>
      <c r="D32" s="292" t="s">
        <v>4</v>
      </c>
      <c r="E32" s="292"/>
      <c r="F32" s="246">
        <v>0</v>
      </c>
      <c r="G32" s="292"/>
      <c r="H32" s="292"/>
      <c r="I32" s="292"/>
      <c r="J32" s="292"/>
      <c r="K32" s="292"/>
      <c r="L32" s="249">
        <v>25000000</v>
      </c>
      <c r="M32" s="249">
        <v>16896000</v>
      </c>
      <c r="N32" s="249">
        <v>0</v>
      </c>
      <c r="O32" s="249">
        <v>0</v>
      </c>
      <c r="P32" s="249">
        <v>0</v>
      </c>
      <c r="Q32" s="285">
        <v>0</v>
      </c>
      <c r="R32" s="285">
        <v>0</v>
      </c>
      <c r="S32" s="285">
        <v>0</v>
      </c>
      <c r="T32" s="285">
        <v>0</v>
      </c>
      <c r="U32" s="849">
        <v>0</v>
      </c>
      <c r="V32" s="274">
        <f t="shared" si="0"/>
        <v>0</v>
      </c>
    </row>
    <row r="33" spans="1:22" ht="32.1" customHeight="1">
      <c r="A33" s="392">
        <v>27402</v>
      </c>
      <c r="B33" s="246" t="s">
        <v>287</v>
      </c>
      <c r="C33" s="292"/>
      <c r="D33" s="274" t="s">
        <v>4</v>
      </c>
      <c r="E33" s="274"/>
      <c r="F33" s="246">
        <v>0</v>
      </c>
      <c r="G33" s="274"/>
      <c r="H33" s="274"/>
      <c r="I33" s="274"/>
      <c r="J33" s="274"/>
      <c r="K33" s="274"/>
      <c r="L33" s="249">
        <v>0</v>
      </c>
      <c r="M33" s="249">
        <v>160000000</v>
      </c>
      <c r="N33" s="249">
        <v>100000000</v>
      </c>
      <c r="O33" s="249">
        <v>0</v>
      </c>
      <c r="P33" s="249"/>
      <c r="Q33" s="285">
        <v>0</v>
      </c>
      <c r="R33" s="285">
        <v>0</v>
      </c>
      <c r="S33" s="285">
        <v>0</v>
      </c>
      <c r="T33" s="285">
        <v>0</v>
      </c>
      <c r="U33" s="849">
        <v>0</v>
      </c>
      <c r="V33" s="274">
        <f t="shared" si="0"/>
        <v>0</v>
      </c>
    </row>
    <row r="34" spans="1:22" ht="32.1" customHeight="1">
      <c r="A34" s="392"/>
      <c r="B34" s="280" t="s">
        <v>92</v>
      </c>
      <c r="C34" s="292"/>
      <c r="D34" s="292"/>
      <c r="E34" s="292"/>
      <c r="F34" s="292">
        <f>1386274192-71600000-798000-176160000-12600000</f>
        <v>1125116192</v>
      </c>
      <c r="G34" s="292"/>
      <c r="H34" s="292"/>
      <c r="I34" s="292"/>
      <c r="J34" s="292"/>
      <c r="K34" s="292"/>
      <c r="L34" s="285">
        <f>SUM(L32:L33)</f>
        <v>25000000</v>
      </c>
      <c r="M34" s="285">
        <f>SUM(M32:M33)</f>
        <v>176896000</v>
      </c>
      <c r="N34" s="285">
        <f>SUM(N32:N33)</f>
        <v>100000000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849">
        <v>0</v>
      </c>
      <c r="V34" s="274">
        <f t="shared" si="0"/>
        <v>0</v>
      </c>
    </row>
    <row r="35" spans="1:22" ht="32.1" customHeight="1">
      <c r="A35" s="476">
        <v>2720</v>
      </c>
      <c r="B35" s="280" t="s">
        <v>261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85"/>
      <c r="M35" s="285"/>
      <c r="N35" s="285"/>
      <c r="O35" s="285"/>
      <c r="P35" s="285"/>
      <c r="Q35" s="285"/>
      <c r="R35" s="285"/>
      <c r="S35" s="285"/>
      <c r="T35" s="285"/>
      <c r="U35" s="849"/>
      <c r="V35" s="274">
        <f t="shared" si="0"/>
        <v>0</v>
      </c>
    </row>
    <row r="36" spans="1:22" ht="32.1" customHeight="1">
      <c r="A36" s="392">
        <v>27202</v>
      </c>
      <c r="B36" s="246" t="s">
        <v>1331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85"/>
      <c r="M36" s="285"/>
      <c r="N36" s="285"/>
      <c r="O36" s="285"/>
      <c r="P36" s="285"/>
      <c r="Q36" s="285">
        <v>0</v>
      </c>
      <c r="R36" s="249">
        <v>90000000</v>
      </c>
      <c r="S36" s="249">
        <v>0</v>
      </c>
      <c r="T36" s="249">
        <v>0</v>
      </c>
      <c r="U36" s="848">
        <v>600000000</v>
      </c>
      <c r="V36" s="274">
        <f t="shared" si="0"/>
        <v>600000000</v>
      </c>
    </row>
    <row r="37" spans="1:22" ht="32.1" customHeight="1">
      <c r="A37" s="392"/>
      <c r="B37" s="280" t="s">
        <v>92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85"/>
      <c r="M37" s="285"/>
      <c r="N37" s="285"/>
      <c r="O37" s="285"/>
      <c r="P37" s="285"/>
      <c r="Q37" s="285">
        <v>0</v>
      </c>
      <c r="R37" s="285">
        <v>90000000</v>
      </c>
      <c r="S37" s="285">
        <f>SUM(S36)</f>
        <v>0</v>
      </c>
      <c r="T37" s="285">
        <f>SUM(T36)</f>
        <v>0</v>
      </c>
      <c r="U37" s="849">
        <f>SUM(U36)</f>
        <v>600000000</v>
      </c>
      <c r="V37" s="279">
        <f t="shared" si="0"/>
        <v>600000000</v>
      </c>
    </row>
    <row r="38" spans="1:22" ht="32.1" customHeight="1">
      <c r="A38" s="392"/>
      <c r="B38" s="280" t="s">
        <v>37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79" t="e">
        <f>L34+L29+L25+L19+L8</f>
        <v>#REF!</v>
      </c>
      <c r="M38" s="279" t="e">
        <f>#REF!+M34+M29+M25+M19+M8</f>
        <v>#REF!</v>
      </c>
      <c r="N38" s="279" t="e">
        <f>#REF!+N34+N29+N25+N19+N8</f>
        <v>#REF!</v>
      </c>
      <c r="O38" s="279">
        <v>0</v>
      </c>
      <c r="P38" s="279">
        <f>P34+P29+P25+P19+P8</f>
        <v>400000000</v>
      </c>
      <c r="Q38" s="285">
        <f>Q34+Q29+Q25+Q19+Q8</f>
        <v>800000000</v>
      </c>
      <c r="R38" s="285">
        <f>R34+R29+R25+R19+R8+R37</f>
        <v>1190000000</v>
      </c>
      <c r="S38" s="285">
        <f>S34+S29+S25+S19+S8+S37</f>
        <v>1595550000</v>
      </c>
      <c r="T38" s="285">
        <f>T34+T29+T25+T19+T8+T37</f>
        <v>1984550000</v>
      </c>
      <c r="U38" s="849">
        <f>U34+U29+U25+U19+U8+U37</f>
        <v>2884550000</v>
      </c>
      <c r="V38" s="279">
        <f t="shared" si="0"/>
        <v>900000000</v>
      </c>
    </row>
    <row r="39" spans="1:22" ht="32.1" customHeight="1">
      <c r="A39" s="515"/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694">
        <f>SUM(P32:P34)</f>
        <v>0</v>
      </c>
      <c r="Q39" s="695"/>
      <c r="R39" s="696"/>
      <c r="S39" s="697"/>
      <c r="T39" s="697"/>
      <c r="U39" s="697"/>
    </row>
  </sheetData>
  <pageMargins left="0.7" right="0.7" top="0.75" bottom="0.75" header="0.3" footer="0.3"/>
  <pageSetup scale="55" orientation="portrait" r:id="rId1"/>
  <headerFooter>
    <oddHeader>&amp;C&amp;"Algerian,Bold"&amp;36JIMCIYADdA MUJAAHIDIINTA SOOYAAL</oddHeader>
    <oddFooter>&amp;R&amp;"Times New Roman,Bold"&amp;18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view="pageBreakPreview" zoomScale="60" zoomScaleNormal="100" workbookViewId="0">
      <selection activeCell="H17" sqref="H17"/>
    </sheetView>
  </sheetViews>
  <sheetFormatPr defaultRowHeight="23.1" customHeight="1"/>
  <cols>
    <col min="1" max="1" width="22.6640625" style="942" customWidth="1"/>
    <col min="2" max="2" width="24" style="942" customWidth="1"/>
    <col min="3" max="3" width="100.83203125" style="913" customWidth="1"/>
    <col min="4" max="4" width="34.5" style="913" customWidth="1"/>
    <col min="5" max="5" width="51.1640625" style="913" customWidth="1"/>
    <col min="6" max="6" width="43" style="913" customWidth="1"/>
    <col min="7" max="7" width="30.1640625" style="913" customWidth="1"/>
    <col min="8" max="8" width="29" style="913" customWidth="1"/>
    <col min="9" max="10" width="9.33203125" style="913"/>
    <col min="11" max="11" width="44.83203125" style="913" customWidth="1"/>
    <col min="12" max="16384" width="9.33203125" style="913"/>
  </cols>
  <sheetData>
    <row r="1" spans="1:8" ht="23.1" customHeight="1">
      <c r="A1" s="911"/>
      <c r="B1" s="911"/>
      <c r="C1" s="912" t="s">
        <v>1437</v>
      </c>
      <c r="D1" s="911">
        <v>2016</v>
      </c>
      <c r="E1" s="911">
        <v>2017</v>
      </c>
      <c r="F1" s="911" t="s">
        <v>1438</v>
      </c>
    </row>
    <row r="2" spans="1:8" ht="23.1" customHeight="1">
      <c r="A2" s="914" t="s">
        <v>1439</v>
      </c>
      <c r="B2" s="912" t="s">
        <v>1440</v>
      </c>
      <c r="C2" s="912" t="s">
        <v>1441</v>
      </c>
      <c r="D2" s="915">
        <v>56799504671</v>
      </c>
      <c r="E2" s="915">
        <v>106558071724</v>
      </c>
      <c r="F2" s="915">
        <f>E2-D2</f>
        <v>49758567053</v>
      </c>
      <c r="H2" s="916"/>
    </row>
    <row r="3" spans="1:8" ht="23.1" customHeight="1">
      <c r="A3" s="917"/>
      <c r="B3" s="917">
        <v>111</v>
      </c>
      <c r="C3" s="918" t="s">
        <v>1442</v>
      </c>
      <c r="D3" s="919"/>
      <c r="E3" s="919"/>
      <c r="F3" s="919">
        <f t="shared" ref="F3:F69" si="0">E3-D3</f>
        <v>0</v>
      </c>
    </row>
    <row r="4" spans="1:8" ht="23.1" customHeight="1">
      <c r="A4" s="920">
        <v>11130</v>
      </c>
      <c r="B4" s="920">
        <v>11101</v>
      </c>
      <c r="C4" s="921" t="s">
        <v>666</v>
      </c>
      <c r="D4" s="247">
        <v>14303773784</v>
      </c>
      <c r="E4" s="247">
        <v>16822517863</v>
      </c>
      <c r="F4" s="247">
        <f t="shared" si="0"/>
        <v>2518744079</v>
      </c>
    </row>
    <row r="5" spans="1:8" ht="23.1" customHeight="1">
      <c r="A5" s="920">
        <v>11350</v>
      </c>
      <c r="B5" s="920">
        <v>11102</v>
      </c>
      <c r="C5" s="921" t="s">
        <v>671</v>
      </c>
      <c r="D5" s="922">
        <v>5700000000</v>
      </c>
      <c r="E5" s="247">
        <v>5926771106</v>
      </c>
      <c r="F5" s="247">
        <f t="shared" si="0"/>
        <v>226771106</v>
      </c>
    </row>
    <row r="6" spans="1:8" ht="23.1" customHeight="1">
      <c r="A6" s="917"/>
      <c r="B6" s="917"/>
      <c r="C6" s="918" t="s">
        <v>1252</v>
      </c>
      <c r="D6" s="915">
        <f>SUM(D4:D5)</f>
        <v>20003773784</v>
      </c>
      <c r="E6" s="915">
        <f>SUM(E4:E5)</f>
        <v>22749288969</v>
      </c>
      <c r="F6" s="915">
        <f t="shared" si="0"/>
        <v>2745515185</v>
      </c>
    </row>
    <row r="7" spans="1:8" ht="23.1" customHeight="1">
      <c r="A7" s="917">
        <v>111</v>
      </c>
      <c r="B7" s="917">
        <v>112</v>
      </c>
      <c r="C7" s="918" t="s">
        <v>1443</v>
      </c>
      <c r="D7" s="923"/>
      <c r="E7" s="923"/>
      <c r="F7" s="923">
        <f t="shared" si="0"/>
        <v>0</v>
      </c>
    </row>
    <row r="8" spans="1:8" ht="23.1" customHeight="1">
      <c r="A8" s="920">
        <v>1110</v>
      </c>
      <c r="B8" s="920">
        <v>11201</v>
      </c>
      <c r="C8" s="921" t="s">
        <v>662</v>
      </c>
      <c r="D8" s="922">
        <v>10830000000</v>
      </c>
      <c r="E8" s="922">
        <v>13377532905</v>
      </c>
      <c r="F8" s="922">
        <f t="shared" si="0"/>
        <v>2547532905</v>
      </c>
    </row>
    <row r="9" spans="1:8" ht="23.1" customHeight="1">
      <c r="A9" s="920">
        <v>11120</v>
      </c>
      <c r="B9" s="920">
        <v>11202</v>
      </c>
      <c r="C9" s="921" t="s">
        <v>664</v>
      </c>
      <c r="D9" s="922">
        <v>39308364850.860001</v>
      </c>
      <c r="E9" s="922">
        <v>40308989665</v>
      </c>
      <c r="F9" s="922">
        <f t="shared" si="0"/>
        <v>1000624814.1399994</v>
      </c>
    </row>
    <row r="10" spans="1:8" ht="23.1" customHeight="1">
      <c r="A10" s="917"/>
      <c r="B10" s="917"/>
      <c r="C10" s="918" t="s">
        <v>1252</v>
      </c>
      <c r="D10" s="915">
        <f>SUM(D8:D9)</f>
        <v>50138364850.860001</v>
      </c>
      <c r="E10" s="915">
        <f>SUM(E8:E9)</f>
        <v>53686522570</v>
      </c>
      <c r="F10" s="915">
        <f t="shared" si="0"/>
        <v>3548157719.1399994</v>
      </c>
    </row>
    <row r="11" spans="1:8" ht="23.1" customHeight="1">
      <c r="A11" s="917">
        <v>1130</v>
      </c>
      <c r="B11" s="917">
        <v>113</v>
      </c>
      <c r="C11" s="918" t="s">
        <v>669</v>
      </c>
      <c r="D11" s="923"/>
      <c r="E11" s="923"/>
      <c r="F11" s="923">
        <f t="shared" si="0"/>
        <v>0</v>
      </c>
    </row>
    <row r="12" spans="1:8" ht="23.1" customHeight="1">
      <c r="A12" s="920">
        <v>11411</v>
      </c>
      <c r="B12" s="920">
        <v>11401</v>
      </c>
      <c r="C12" s="921" t="s">
        <v>675</v>
      </c>
      <c r="D12" s="922">
        <v>98130019518</v>
      </c>
      <c r="E12" s="922">
        <v>144046518381</v>
      </c>
      <c r="F12" s="922">
        <f t="shared" si="0"/>
        <v>45916498863</v>
      </c>
      <c r="G12" s="916"/>
      <c r="H12" s="916"/>
    </row>
    <row r="13" spans="1:8" ht="23.1" customHeight="1">
      <c r="A13" s="920">
        <v>11441</v>
      </c>
      <c r="B13" s="920">
        <v>11402</v>
      </c>
      <c r="C13" s="921" t="s">
        <v>677</v>
      </c>
      <c r="D13" s="922">
        <v>2000000000</v>
      </c>
      <c r="E13" s="922">
        <v>1000000000</v>
      </c>
      <c r="F13" s="922">
        <f t="shared" si="0"/>
        <v>-1000000000</v>
      </c>
    </row>
    <row r="14" spans="1:8" ht="23.1" customHeight="1">
      <c r="A14" s="920">
        <v>11442</v>
      </c>
      <c r="B14" s="920">
        <v>11403</v>
      </c>
      <c r="C14" s="921" t="s">
        <v>679</v>
      </c>
      <c r="D14" s="922">
        <v>25350645667</v>
      </c>
      <c r="E14" s="922">
        <v>4578982341</v>
      </c>
      <c r="F14" s="922">
        <f t="shared" si="0"/>
        <v>-20771663326</v>
      </c>
    </row>
    <row r="15" spans="1:8" ht="23.1" customHeight="1">
      <c r="A15" s="920">
        <v>11443</v>
      </c>
      <c r="B15" s="920">
        <v>11404</v>
      </c>
      <c r="C15" s="921" t="s">
        <v>1130</v>
      </c>
      <c r="D15" s="247">
        <v>721037097</v>
      </c>
      <c r="E15" s="922">
        <v>815392760</v>
      </c>
      <c r="F15" s="922">
        <f t="shared" si="0"/>
        <v>94355663</v>
      </c>
    </row>
    <row r="16" spans="1:8" ht="23.1" customHeight="1">
      <c r="A16" s="917"/>
      <c r="B16" s="917"/>
      <c r="C16" s="918" t="s">
        <v>1252</v>
      </c>
      <c r="D16" s="915">
        <f>SUM(D12:D15)</f>
        <v>126201702282</v>
      </c>
      <c r="E16" s="915">
        <f>SUM(E12:E15)</f>
        <v>150440893482</v>
      </c>
      <c r="F16" s="915">
        <f t="shared" si="0"/>
        <v>24239191200</v>
      </c>
    </row>
    <row r="17" spans="1:7" ht="23.1" customHeight="1">
      <c r="A17" s="917">
        <v>1145</v>
      </c>
      <c r="B17" s="917">
        <v>1145</v>
      </c>
      <c r="C17" s="918" t="s">
        <v>1444</v>
      </c>
      <c r="D17" s="924"/>
      <c r="E17" s="924"/>
      <c r="F17" s="924">
        <f t="shared" si="0"/>
        <v>0</v>
      </c>
    </row>
    <row r="18" spans="1:7" ht="23.1" customHeight="1">
      <c r="A18" s="920">
        <v>11451</v>
      </c>
      <c r="B18" s="920">
        <v>11407</v>
      </c>
      <c r="C18" s="921" t="s">
        <v>1445</v>
      </c>
      <c r="D18" s="922">
        <v>0</v>
      </c>
      <c r="E18" s="922">
        <v>35252780</v>
      </c>
      <c r="F18" s="922">
        <f t="shared" si="0"/>
        <v>35252780</v>
      </c>
    </row>
    <row r="19" spans="1:7" ht="23.1" customHeight="1">
      <c r="A19" s="920">
        <v>11452</v>
      </c>
      <c r="B19" s="920">
        <v>11408</v>
      </c>
      <c r="C19" s="921" t="s">
        <v>1446</v>
      </c>
      <c r="D19" s="922">
        <v>1000000000</v>
      </c>
      <c r="E19" s="922">
        <v>20000000</v>
      </c>
      <c r="F19" s="922">
        <f t="shared" si="0"/>
        <v>-980000000</v>
      </c>
    </row>
    <row r="20" spans="1:7" ht="23.1" customHeight="1">
      <c r="A20" s="920">
        <v>11453</v>
      </c>
      <c r="B20" s="920">
        <v>11409</v>
      </c>
      <c r="C20" s="921" t="s">
        <v>689</v>
      </c>
      <c r="D20" s="922">
        <v>13235792167.4</v>
      </c>
      <c r="E20" s="922">
        <v>15470433305.709167</v>
      </c>
      <c r="F20" s="922">
        <f t="shared" si="0"/>
        <v>2234641138.3091679</v>
      </c>
    </row>
    <row r="21" spans="1:7" ht="23.1" customHeight="1">
      <c r="A21" s="920">
        <v>11454</v>
      </c>
      <c r="B21" s="920">
        <v>11410</v>
      </c>
      <c r="C21" s="921" t="s">
        <v>691</v>
      </c>
      <c r="D21" s="922">
        <v>5132880000</v>
      </c>
      <c r="E21" s="922">
        <v>6000480088</v>
      </c>
      <c r="F21" s="922">
        <f t="shared" si="0"/>
        <v>867600088</v>
      </c>
    </row>
    <row r="22" spans="1:7" ht="23.1" customHeight="1">
      <c r="A22" s="920">
        <v>11455</v>
      </c>
      <c r="B22" s="920">
        <v>11411</v>
      </c>
      <c r="C22" s="921" t="s">
        <v>693</v>
      </c>
      <c r="D22" s="922">
        <v>11398538552</v>
      </c>
      <c r="E22" s="922">
        <v>5609670701</v>
      </c>
      <c r="F22" s="922">
        <f t="shared" si="0"/>
        <v>-5788867851</v>
      </c>
      <c r="G22" s="916"/>
    </row>
    <row r="23" spans="1:7" ht="23.1" customHeight="1">
      <c r="A23" s="920">
        <v>11456</v>
      </c>
      <c r="B23" s="920">
        <v>11412</v>
      </c>
      <c r="C23" s="921" t="s">
        <v>695</v>
      </c>
      <c r="D23" s="922">
        <v>25346337514</v>
      </c>
      <c r="E23" s="925">
        <v>33283780572</v>
      </c>
      <c r="F23" s="925">
        <f t="shared" si="0"/>
        <v>7937443058</v>
      </c>
    </row>
    <row r="24" spans="1:7" ht="23.1" customHeight="1">
      <c r="A24" s="926">
        <v>11467</v>
      </c>
      <c r="B24" s="920">
        <v>11413</v>
      </c>
      <c r="C24" s="921" t="s">
        <v>1131</v>
      </c>
      <c r="D24" s="922">
        <v>6011500000</v>
      </c>
      <c r="E24" s="922">
        <v>15004877553</v>
      </c>
      <c r="F24" s="922">
        <f t="shared" si="0"/>
        <v>8993377553</v>
      </c>
    </row>
    <row r="25" spans="1:7" ht="23.1" customHeight="1">
      <c r="A25" s="920">
        <v>11458</v>
      </c>
      <c r="B25" s="920">
        <v>11414</v>
      </c>
      <c r="C25" s="921" t="s">
        <v>697</v>
      </c>
      <c r="D25" s="922">
        <v>491850000</v>
      </c>
      <c r="E25" s="922">
        <v>706079137</v>
      </c>
      <c r="F25" s="922">
        <f t="shared" si="0"/>
        <v>214229137</v>
      </c>
    </row>
    <row r="26" spans="1:7" ht="23.1" customHeight="1">
      <c r="A26" s="920">
        <v>11459</v>
      </c>
      <c r="B26" s="920">
        <v>11415</v>
      </c>
      <c r="C26" s="921" t="s">
        <v>942</v>
      </c>
      <c r="D26" s="247">
        <v>3596637627</v>
      </c>
      <c r="E26" s="922">
        <v>48092677</v>
      </c>
      <c r="F26" s="922">
        <f t="shared" si="0"/>
        <v>-3548544950</v>
      </c>
    </row>
    <row r="27" spans="1:7" ht="23.1" customHeight="1">
      <c r="A27" s="920">
        <v>114510</v>
      </c>
      <c r="B27" s="920">
        <v>11416</v>
      </c>
      <c r="C27" s="921" t="s">
        <v>701</v>
      </c>
      <c r="D27" s="922">
        <v>20993903.199999999</v>
      </c>
      <c r="E27" s="922">
        <v>22459862</v>
      </c>
      <c r="F27" s="922">
        <f t="shared" si="0"/>
        <v>1465958.8000000007</v>
      </c>
    </row>
    <row r="28" spans="1:7" ht="23.1" customHeight="1">
      <c r="A28" s="917"/>
      <c r="B28" s="917"/>
      <c r="C28" s="918" t="s">
        <v>1252</v>
      </c>
      <c r="D28" s="915">
        <f>SUM(D18:D27)</f>
        <v>66234529763.599998</v>
      </c>
      <c r="E28" s="915">
        <f>SUM(E18:E27)</f>
        <v>76201126675.709167</v>
      </c>
      <c r="F28" s="915">
        <f t="shared" si="0"/>
        <v>9966596912.109169</v>
      </c>
    </row>
    <row r="29" spans="1:7" ht="23.1" customHeight="1">
      <c r="A29" s="917">
        <v>115</v>
      </c>
      <c r="B29" s="917">
        <v>115</v>
      </c>
      <c r="C29" s="918" t="s">
        <v>1447</v>
      </c>
      <c r="D29" s="924"/>
      <c r="E29" s="924"/>
      <c r="F29" s="924">
        <f t="shared" si="0"/>
        <v>0</v>
      </c>
    </row>
    <row r="30" spans="1:7" ht="23.1" customHeight="1">
      <c r="A30" s="920">
        <v>11510</v>
      </c>
      <c r="B30" s="920">
        <v>11501</v>
      </c>
      <c r="C30" s="921" t="s">
        <v>705</v>
      </c>
      <c r="D30" s="922">
        <v>398378760162</v>
      </c>
      <c r="E30" s="925">
        <v>460666826507</v>
      </c>
      <c r="F30" s="925">
        <f t="shared" si="0"/>
        <v>62288066345</v>
      </c>
    </row>
    <row r="31" spans="1:7" ht="23.1" customHeight="1">
      <c r="A31" s="920">
        <v>11520</v>
      </c>
      <c r="B31" s="920">
        <v>11502</v>
      </c>
      <c r="C31" s="921" t="s">
        <v>1448</v>
      </c>
      <c r="D31" s="922">
        <v>834726175</v>
      </c>
      <c r="E31" s="922">
        <v>910082861</v>
      </c>
      <c r="F31" s="922">
        <f t="shared" si="0"/>
        <v>75356686</v>
      </c>
    </row>
    <row r="32" spans="1:7" ht="23.1" customHeight="1">
      <c r="A32" s="920">
        <v>11530</v>
      </c>
      <c r="B32" s="920">
        <v>11503</v>
      </c>
      <c r="C32" s="921" t="s">
        <v>709</v>
      </c>
      <c r="D32" s="922">
        <v>36410760770</v>
      </c>
      <c r="E32" s="922">
        <v>55830035200</v>
      </c>
      <c r="F32" s="922">
        <f t="shared" si="0"/>
        <v>19419274430</v>
      </c>
    </row>
    <row r="33" spans="1:8" ht="23.1" customHeight="1">
      <c r="A33" s="927">
        <v>11550</v>
      </c>
      <c r="B33" s="920">
        <v>11504</v>
      </c>
      <c r="C33" s="921" t="s">
        <v>1449</v>
      </c>
      <c r="D33" s="922">
        <v>18744594001.720001</v>
      </c>
      <c r="E33" s="922">
        <v>17427453637</v>
      </c>
      <c r="F33" s="922">
        <f t="shared" si="0"/>
        <v>-1317140364.7200012</v>
      </c>
    </row>
    <row r="34" spans="1:8" ht="23.1" customHeight="1">
      <c r="A34" s="928"/>
      <c r="B34" s="917"/>
      <c r="C34" s="918" t="s">
        <v>1252</v>
      </c>
      <c r="D34" s="915">
        <f>SUM(D30:D33)</f>
        <v>454368841108.71997</v>
      </c>
      <c r="E34" s="915">
        <f>SUM(E30:E33)</f>
        <v>534834398205</v>
      </c>
      <c r="F34" s="915">
        <f t="shared" si="0"/>
        <v>80465557096.280029</v>
      </c>
    </row>
    <row r="35" spans="1:8" ht="23.1" customHeight="1">
      <c r="A35" s="917">
        <v>116</v>
      </c>
      <c r="B35" s="917">
        <v>116</v>
      </c>
      <c r="C35" s="918" t="s">
        <v>713</v>
      </c>
      <c r="D35" s="924"/>
      <c r="E35" s="924"/>
      <c r="F35" s="924">
        <f t="shared" si="0"/>
        <v>0</v>
      </c>
    </row>
    <row r="36" spans="1:8" ht="23.1" customHeight="1">
      <c r="A36" s="920">
        <v>1160</v>
      </c>
      <c r="B36" s="920">
        <v>11601</v>
      </c>
      <c r="C36" s="921" t="s">
        <v>715</v>
      </c>
      <c r="D36" s="247">
        <v>4007296972</v>
      </c>
      <c r="E36" s="247">
        <v>6366285482</v>
      </c>
      <c r="F36" s="247">
        <f t="shared" si="0"/>
        <v>2358988510</v>
      </c>
    </row>
    <row r="37" spans="1:8" ht="23.1" customHeight="1">
      <c r="A37" s="920">
        <v>11610</v>
      </c>
      <c r="B37" s="920">
        <v>11602</v>
      </c>
      <c r="C37" s="921" t="s">
        <v>717</v>
      </c>
      <c r="D37" s="922">
        <v>40290191320</v>
      </c>
      <c r="E37" s="273">
        <v>51501502102</v>
      </c>
      <c r="F37" s="273">
        <f t="shared" si="0"/>
        <v>11211310782</v>
      </c>
    </row>
    <row r="38" spans="1:8" ht="23.1" customHeight="1">
      <c r="A38" s="920">
        <v>11620</v>
      </c>
      <c r="B38" s="920">
        <v>11603</v>
      </c>
      <c r="C38" s="921" t="s">
        <v>1450</v>
      </c>
      <c r="D38" s="922">
        <v>3243681679.98</v>
      </c>
      <c r="E38" s="247">
        <v>6002643896</v>
      </c>
      <c r="F38" s="247">
        <f t="shared" si="0"/>
        <v>2758962216.02</v>
      </c>
    </row>
    <row r="39" spans="1:8" ht="23.1" customHeight="1">
      <c r="A39" s="920">
        <v>11660</v>
      </c>
      <c r="B39" s="920">
        <v>11604</v>
      </c>
      <c r="C39" s="921" t="s">
        <v>1135</v>
      </c>
      <c r="D39" s="922">
        <v>4720000000</v>
      </c>
      <c r="E39" s="247">
        <v>7224714146</v>
      </c>
      <c r="F39" s="247">
        <f t="shared" si="0"/>
        <v>2504714146</v>
      </c>
    </row>
    <row r="40" spans="1:8" ht="23.1" customHeight="1">
      <c r="A40" s="920">
        <v>11630</v>
      </c>
      <c r="B40" s="920">
        <v>11605</v>
      </c>
      <c r="C40" s="921" t="s">
        <v>721</v>
      </c>
      <c r="D40" s="922">
        <v>1099770622.0799999</v>
      </c>
      <c r="E40" s="247">
        <v>2614192140</v>
      </c>
      <c r="F40" s="247">
        <f t="shared" si="0"/>
        <v>1514421517.9200001</v>
      </c>
    </row>
    <row r="41" spans="1:8" ht="23.1" customHeight="1">
      <c r="A41" s="920">
        <v>11640</v>
      </c>
      <c r="B41" s="920">
        <v>11606</v>
      </c>
      <c r="C41" s="921" t="s">
        <v>723</v>
      </c>
      <c r="D41" s="922">
        <v>6840000000</v>
      </c>
      <c r="E41" s="247">
        <v>6840000000</v>
      </c>
      <c r="F41" s="247">
        <f t="shared" si="0"/>
        <v>0</v>
      </c>
      <c r="H41" s="916"/>
    </row>
    <row r="42" spans="1:8" ht="23.1" customHeight="1">
      <c r="A42" s="920">
        <v>11540</v>
      </c>
      <c r="B42" s="920">
        <v>11607</v>
      </c>
      <c r="C42" s="921" t="s">
        <v>1451</v>
      </c>
      <c r="D42" s="922">
        <v>129297427841.38</v>
      </c>
      <c r="E42" s="273">
        <v>116946442077</v>
      </c>
      <c r="F42" s="273">
        <f t="shared" si="0"/>
        <v>-12350985764.380005</v>
      </c>
      <c r="H42" s="916"/>
    </row>
    <row r="43" spans="1:8" ht="23.1" customHeight="1">
      <c r="A43" s="920">
        <v>11560</v>
      </c>
      <c r="B43" s="920">
        <v>11608</v>
      </c>
      <c r="C43" s="921" t="s">
        <v>1452</v>
      </c>
      <c r="D43" s="922">
        <v>10933391988</v>
      </c>
      <c r="E43" s="247">
        <v>20270822073</v>
      </c>
      <c r="F43" s="247">
        <f t="shared" si="0"/>
        <v>9337430085</v>
      </c>
    </row>
    <row r="44" spans="1:8" ht="23.1" customHeight="1">
      <c r="A44" s="927">
        <v>14211</v>
      </c>
      <c r="B44" s="920">
        <v>11609</v>
      </c>
      <c r="C44" s="921" t="s">
        <v>1453</v>
      </c>
      <c r="D44" s="922">
        <v>708000000</v>
      </c>
      <c r="E44" s="247">
        <v>775542959</v>
      </c>
      <c r="F44" s="247">
        <f t="shared" si="0"/>
        <v>67542959</v>
      </c>
    </row>
    <row r="45" spans="1:8" ht="23.1" customHeight="1">
      <c r="A45" s="926">
        <v>11650</v>
      </c>
      <c r="B45" s="920">
        <v>11610</v>
      </c>
      <c r="C45" s="921" t="s">
        <v>1454</v>
      </c>
      <c r="D45" s="922">
        <v>767821084.12</v>
      </c>
      <c r="E45" s="247">
        <v>1426346297</v>
      </c>
      <c r="F45" s="247">
        <f t="shared" si="0"/>
        <v>658525212.88</v>
      </c>
    </row>
    <row r="46" spans="1:8" ht="23.1" customHeight="1">
      <c r="A46" s="920">
        <v>12110</v>
      </c>
      <c r="B46" s="920">
        <v>11611</v>
      </c>
      <c r="C46" s="921" t="s">
        <v>1455</v>
      </c>
      <c r="D46" s="922">
        <v>36990782397</v>
      </c>
      <c r="E46" s="247">
        <v>50826963658</v>
      </c>
      <c r="F46" s="247">
        <f t="shared" si="0"/>
        <v>13836181261</v>
      </c>
      <c r="G46" s="916"/>
    </row>
    <row r="47" spans="1:8" ht="23.1" customHeight="1">
      <c r="A47" s="917"/>
      <c r="B47" s="917"/>
      <c r="C47" s="918" t="s">
        <v>1252</v>
      </c>
      <c r="D47" s="923">
        <f>SUM(D36:D46)</f>
        <v>238898363904.56</v>
      </c>
      <c r="E47" s="923">
        <f>SUM(E36:E46)</f>
        <v>270795454830</v>
      </c>
      <c r="F47" s="923">
        <f t="shared" si="0"/>
        <v>31897090925.440002</v>
      </c>
    </row>
    <row r="48" spans="1:8" ht="23.1" customHeight="1">
      <c r="A48" s="920"/>
      <c r="B48" s="917">
        <v>132</v>
      </c>
      <c r="C48" s="918" t="s">
        <v>1500</v>
      </c>
      <c r="D48" s="922"/>
      <c r="E48" s="247"/>
      <c r="F48" s="247">
        <f>E48-D48</f>
        <v>0</v>
      </c>
      <c r="G48" s="916"/>
    </row>
    <row r="49" spans="1:11" ht="23.1" customHeight="1">
      <c r="A49" s="920"/>
      <c r="B49" s="920">
        <v>13221</v>
      </c>
      <c r="C49" s="921" t="s">
        <v>1499</v>
      </c>
      <c r="D49" s="922">
        <v>0</v>
      </c>
      <c r="E49" s="247">
        <v>44404022280</v>
      </c>
      <c r="F49" s="247">
        <f>E49-D49</f>
        <v>44404022280</v>
      </c>
      <c r="G49" s="916"/>
    </row>
    <row r="50" spans="1:11" ht="23.1" customHeight="1">
      <c r="A50" s="920"/>
      <c r="B50" s="920"/>
      <c r="C50" s="918" t="s">
        <v>1252</v>
      </c>
      <c r="D50" s="924">
        <f>SUM(D49)</f>
        <v>0</v>
      </c>
      <c r="E50" s="924">
        <f>SUM(E49)</f>
        <v>44404022280</v>
      </c>
      <c r="F50" s="256">
        <f>E50-D50</f>
        <v>44404022280</v>
      </c>
      <c r="G50" s="916"/>
    </row>
    <row r="51" spans="1:11" ht="23.1" customHeight="1">
      <c r="A51" s="929"/>
      <c r="B51" s="917">
        <v>141</v>
      </c>
      <c r="C51" s="918" t="s">
        <v>946</v>
      </c>
      <c r="D51" s="924"/>
      <c r="E51" s="924"/>
      <c r="F51" s="924">
        <f t="shared" si="0"/>
        <v>0</v>
      </c>
    </row>
    <row r="52" spans="1:11" ht="23.1" customHeight="1">
      <c r="A52" s="920">
        <v>14140</v>
      </c>
      <c r="B52" s="920">
        <v>14102</v>
      </c>
      <c r="C52" s="921" t="s">
        <v>741</v>
      </c>
      <c r="D52" s="922">
        <v>2335160018</v>
      </c>
      <c r="E52" s="922">
        <v>2335160018</v>
      </c>
      <c r="F52" s="922">
        <f t="shared" si="0"/>
        <v>0</v>
      </c>
    </row>
    <row r="53" spans="1:11" ht="23.1" customHeight="1">
      <c r="A53" s="920">
        <v>14150</v>
      </c>
      <c r="B53" s="920">
        <v>14103</v>
      </c>
      <c r="C53" s="921" t="s">
        <v>1456</v>
      </c>
      <c r="D53" s="922">
        <v>7911313743.8979998</v>
      </c>
      <c r="E53" s="922">
        <v>4586117127</v>
      </c>
      <c r="F53" s="922">
        <f t="shared" si="0"/>
        <v>-3325196616.8979998</v>
      </c>
    </row>
    <row r="54" spans="1:11" ht="23.1" customHeight="1">
      <c r="A54" s="920">
        <v>14160</v>
      </c>
      <c r="B54" s="920">
        <v>14104</v>
      </c>
      <c r="C54" s="921" t="s">
        <v>745</v>
      </c>
      <c r="D54" s="922">
        <v>44312875928</v>
      </c>
      <c r="E54" s="922">
        <v>0</v>
      </c>
      <c r="F54" s="922">
        <f t="shared" si="0"/>
        <v>-44312875928</v>
      </c>
      <c r="G54" s="930"/>
      <c r="H54" s="931"/>
      <c r="I54" s="931"/>
      <c r="J54" s="932"/>
      <c r="K54" s="933"/>
    </row>
    <row r="55" spans="1:11" ht="23.1" customHeight="1">
      <c r="A55" s="920"/>
      <c r="B55" s="920">
        <v>14106</v>
      </c>
      <c r="C55" s="921" t="s">
        <v>1457</v>
      </c>
      <c r="D55" s="922">
        <v>0</v>
      </c>
      <c r="E55" s="922">
        <v>30000000000</v>
      </c>
      <c r="F55" s="922">
        <f t="shared" si="0"/>
        <v>30000000000</v>
      </c>
      <c r="G55" s="934"/>
      <c r="H55" s="934"/>
    </row>
    <row r="56" spans="1:11" ht="23.1" customHeight="1">
      <c r="A56" s="920"/>
      <c r="B56" s="920">
        <v>14107</v>
      </c>
      <c r="C56" s="921" t="s">
        <v>1458</v>
      </c>
      <c r="D56" s="922">
        <v>0</v>
      </c>
      <c r="E56" s="922">
        <v>60000000000</v>
      </c>
      <c r="F56" s="922">
        <f t="shared" si="0"/>
        <v>60000000000</v>
      </c>
      <c r="G56" s="934"/>
      <c r="H56" s="934"/>
    </row>
    <row r="57" spans="1:11" ht="23.1" customHeight="1">
      <c r="A57" s="917"/>
      <c r="B57" s="917"/>
      <c r="C57" s="918" t="s">
        <v>1252</v>
      </c>
      <c r="D57" s="923">
        <f>SUM(D52:D56)</f>
        <v>54559349689.897995</v>
      </c>
      <c r="E57" s="923">
        <f t="shared" ref="E57" si="1">SUM(E52:E56)</f>
        <v>96921277145</v>
      </c>
      <c r="F57" s="923">
        <f t="shared" si="0"/>
        <v>42361927455.102005</v>
      </c>
    </row>
    <row r="58" spans="1:11" ht="23.1" customHeight="1">
      <c r="A58" s="917">
        <v>142</v>
      </c>
      <c r="B58" s="917">
        <v>142</v>
      </c>
      <c r="C58" s="918" t="s">
        <v>1137</v>
      </c>
      <c r="D58" s="924"/>
      <c r="E58" s="924"/>
      <c r="F58" s="924">
        <f t="shared" si="0"/>
        <v>0</v>
      </c>
    </row>
    <row r="59" spans="1:11" ht="23.1" customHeight="1">
      <c r="A59" s="920">
        <v>14201</v>
      </c>
      <c r="B59" s="920">
        <v>14201</v>
      </c>
      <c r="C59" s="921" t="s">
        <v>749</v>
      </c>
      <c r="D59" s="922">
        <v>44783757717</v>
      </c>
      <c r="E59" s="922">
        <v>60556929877</v>
      </c>
      <c r="F59" s="922">
        <f t="shared" si="0"/>
        <v>15773172160</v>
      </c>
      <c r="G59" s="935"/>
      <c r="H59" s="931"/>
      <c r="I59" s="931"/>
      <c r="J59" s="932"/>
      <c r="K59" s="936"/>
    </row>
    <row r="60" spans="1:11" ht="23.1" customHeight="1">
      <c r="A60" s="920">
        <v>14202</v>
      </c>
      <c r="B60" s="920">
        <v>14202</v>
      </c>
      <c r="C60" s="921" t="s">
        <v>751</v>
      </c>
      <c r="D60" s="922">
        <v>989643594.15999997</v>
      </c>
      <c r="E60" s="922">
        <v>2596536715</v>
      </c>
      <c r="F60" s="922">
        <f t="shared" si="0"/>
        <v>1606893120.8400002</v>
      </c>
    </row>
    <row r="61" spans="1:11" ht="23.1" customHeight="1">
      <c r="A61" s="920">
        <v>14203</v>
      </c>
      <c r="B61" s="920">
        <v>14203</v>
      </c>
      <c r="C61" s="921" t="s">
        <v>753</v>
      </c>
      <c r="D61" s="922">
        <v>64056300</v>
      </c>
      <c r="E61" s="922">
        <v>73827600</v>
      </c>
      <c r="F61" s="922">
        <f t="shared" si="0"/>
        <v>9771300</v>
      </c>
      <c r="G61" s="930"/>
      <c r="H61" s="937"/>
      <c r="I61" s="937"/>
      <c r="J61" s="938"/>
      <c r="K61" s="933"/>
    </row>
    <row r="62" spans="1:11" ht="23.1" customHeight="1">
      <c r="A62" s="920">
        <v>14204</v>
      </c>
      <c r="B62" s="920">
        <v>14204</v>
      </c>
      <c r="C62" s="921" t="s">
        <v>1459</v>
      </c>
      <c r="D62" s="922">
        <v>17714826847</v>
      </c>
      <c r="E62" s="922">
        <v>27188874676</v>
      </c>
      <c r="F62" s="922">
        <f t="shared" si="0"/>
        <v>9474047829</v>
      </c>
    </row>
    <row r="63" spans="1:11" ht="23.1" customHeight="1">
      <c r="A63" s="920">
        <v>14205</v>
      </c>
      <c r="B63" s="920">
        <v>14205</v>
      </c>
      <c r="C63" s="921" t="s">
        <v>949</v>
      </c>
      <c r="D63" s="922">
        <v>4226733000</v>
      </c>
      <c r="E63" s="922">
        <v>4880789291</v>
      </c>
      <c r="F63" s="922">
        <f t="shared" si="0"/>
        <v>654056291</v>
      </c>
    </row>
    <row r="64" spans="1:11" ht="23.1" customHeight="1">
      <c r="A64" s="920">
        <v>14206</v>
      </c>
      <c r="B64" s="920">
        <v>14206</v>
      </c>
      <c r="C64" s="921" t="s">
        <v>757</v>
      </c>
      <c r="D64" s="922">
        <v>3471590562</v>
      </c>
      <c r="E64" s="922">
        <v>3706723343</v>
      </c>
      <c r="F64" s="922">
        <f t="shared" si="0"/>
        <v>235132781</v>
      </c>
    </row>
    <row r="65" spans="1:6" ht="23.1" customHeight="1">
      <c r="A65" s="920">
        <v>14207</v>
      </c>
      <c r="B65" s="920">
        <v>14207</v>
      </c>
      <c r="C65" s="921" t="s">
        <v>759</v>
      </c>
      <c r="D65" s="922">
        <v>3540000000</v>
      </c>
      <c r="E65" s="922">
        <v>4092588865</v>
      </c>
      <c r="F65" s="922">
        <f t="shared" si="0"/>
        <v>552588865</v>
      </c>
    </row>
    <row r="66" spans="1:6" ht="23.1" customHeight="1">
      <c r="A66" s="920">
        <v>14208</v>
      </c>
      <c r="B66" s="920">
        <v>14208</v>
      </c>
      <c r="C66" s="921" t="s">
        <v>1138</v>
      </c>
      <c r="D66" s="922">
        <v>4973691873</v>
      </c>
      <c r="E66" s="922">
        <v>5105614891</v>
      </c>
      <c r="F66" s="922">
        <f t="shared" si="0"/>
        <v>131923018</v>
      </c>
    </row>
    <row r="67" spans="1:6" ht="23.1" customHeight="1">
      <c r="A67" s="920">
        <v>14210</v>
      </c>
      <c r="B67" s="920">
        <v>14209</v>
      </c>
      <c r="C67" s="921" t="s">
        <v>763</v>
      </c>
      <c r="D67" s="922">
        <v>0</v>
      </c>
      <c r="E67" s="922">
        <v>2000000000</v>
      </c>
      <c r="F67" s="922">
        <f t="shared" si="0"/>
        <v>2000000000</v>
      </c>
    </row>
    <row r="68" spans="1:6" ht="23.1" customHeight="1">
      <c r="A68" s="920">
        <v>14212</v>
      </c>
      <c r="B68" s="920">
        <v>14210</v>
      </c>
      <c r="C68" s="921" t="s">
        <v>1141</v>
      </c>
      <c r="D68" s="922">
        <v>0</v>
      </c>
      <c r="E68" s="922">
        <v>2000000000</v>
      </c>
      <c r="F68" s="922">
        <f t="shared" si="0"/>
        <v>2000000000</v>
      </c>
    </row>
    <row r="69" spans="1:6" ht="23.1" customHeight="1">
      <c r="A69" s="927">
        <v>14209</v>
      </c>
      <c r="B69" s="920">
        <v>14211</v>
      </c>
      <c r="C69" s="921" t="s">
        <v>1139</v>
      </c>
      <c r="D69" s="922">
        <v>0</v>
      </c>
      <c r="E69" s="922">
        <v>4000000000</v>
      </c>
      <c r="F69" s="922">
        <f t="shared" si="0"/>
        <v>4000000000</v>
      </c>
    </row>
    <row r="70" spans="1:6" ht="23.1" customHeight="1">
      <c r="A70" s="927">
        <v>14213</v>
      </c>
      <c r="B70" s="920">
        <v>14212</v>
      </c>
      <c r="C70" s="921" t="s">
        <v>1460</v>
      </c>
      <c r="D70" s="922">
        <v>0</v>
      </c>
      <c r="E70" s="922">
        <v>477219600</v>
      </c>
      <c r="F70" s="922">
        <f t="shared" ref="F70:F85" si="2">E70-D70</f>
        <v>477219600</v>
      </c>
    </row>
    <row r="71" spans="1:6" ht="23.1" customHeight="1">
      <c r="A71" s="927"/>
      <c r="B71" s="920">
        <v>14213</v>
      </c>
      <c r="C71" s="921" t="s">
        <v>1461</v>
      </c>
      <c r="D71" s="922">
        <v>0</v>
      </c>
      <c r="E71" s="922">
        <v>1800000000</v>
      </c>
      <c r="F71" s="922">
        <f t="shared" si="2"/>
        <v>1800000000</v>
      </c>
    </row>
    <row r="72" spans="1:6" ht="23.1" customHeight="1">
      <c r="A72" s="928"/>
      <c r="B72" s="917"/>
      <c r="C72" s="918" t="s">
        <v>1252</v>
      </c>
      <c r="D72" s="915">
        <f>SUM(D59:D71)</f>
        <v>79764299893.160004</v>
      </c>
      <c r="E72" s="915">
        <f t="shared" ref="E72" si="3">SUM(E59:E71)</f>
        <v>118479104858</v>
      </c>
      <c r="F72" s="915">
        <f t="shared" si="2"/>
        <v>38714804964.839996</v>
      </c>
    </row>
    <row r="73" spans="1:6" ht="23.1" customHeight="1">
      <c r="A73" s="917">
        <v>143</v>
      </c>
      <c r="B73" s="917">
        <v>143</v>
      </c>
      <c r="C73" s="918" t="s">
        <v>773</v>
      </c>
      <c r="D73" s="924"/>
      <c r="E73" s="924"/>
      <c r="F73" s="924">
        <f t="shared" si="2"/>
        <v>0</v>
      </c>
    </row>
    <row r="74" spans="1:6" ht="23.1" customHeight="1">
      <c r="A74" s="920">
        <v>14310</v>
      </c>
      <c r="B74" s="920">
        <v>14301</v>
      </c>
      <c r="C74" s="921" t="s">
        <v>773</v>
      </c>
      <c r="D74" s="922">
        <v>4323270052</v>
      </c>
      <c r="E74" s="922">
        <v>5526305855</v>
      </c>
      <c r="F74" s="922">
        <f t="shared" si="2"/>
        <v>1203035803</v>
      </c>
    </row>
    <row r="75" spans="1:6" ht="23.1" customHeight="1">
      <c r="A75" s="920">
        <v>14330</v>
      </c>
      <c r="B75" s="920">
        <v>14302</v>
      </c>
      <c r="C75" s="921" t="s">
        <v>1462</v>
      </c>
      <c r="D75" s="247">
        <v>708000000</v>
      </c>
      <c r="E75" s="922">
        <v>716630716</v>
      </c>
      <c r="F75" s="922">
        <f t="shared" si="2"/>
        <v>8630716</v>
      </c>
    </row>
    <row r="76" spans="1:6" ht="23.1" customHeight="1">
      <c r="A76" s="917"/>
      <c r="B76" s="917"/>
      <c r="C76" s="918" t="s">
        <v>1252</v>
      </c>
      <c r="D76" s="923">
        <f>SUM(D74:D75)</f>
        <v>5031270052</v>
      </c>
      <c r="E76" s="923">
        <f>SUM(E74:E75)</f>
        <v>6242936571</v>
      </c>
      <c r="F76" s="923">
        <f t="shared" si="2"/>
        <v>1211666519</v>
      </c>
    </row>
    <row r="77" spans="1:6" ht="23.1" customHeight="1">
      <c r="A77" s="917">
        <v>133</v>
      </c>
      <c r="B77" s="917">
        <v>144</v>
      </c>
      <c r="C77" s="918" t="s">
        <v>1463</v>
      </c>
      <c r="D77" s="924"/>
      <c r="E77" s="924"/>
      <c r="F77" s="924">
        <f t="shared" si="2"/>
        <v>0</v>
      </c>
    </row>
    <row r="78" spans="1:6" ht="23.1" customHeight="1">
      <c r="A78" s="920">
        <v>13330</v>
      </c>
      <c r="B78" s="920">
        <v>14401</v>
      </c>
      <c r="C78" s="921" t="s">
        <v>1464</v>
      </c>
      <c r="D78" s="922">
        <v>30000000000</v>
      </c>
      <c r="E78" s="922">
        <v>32253396880</v>
      </c>
      <c r="F78" s="922">
        <f t="shared" si="2"/>
        <v>2253396880</v>
      </c>
    </row>
    <row r="79" spans="1:6" ht="23.1" customHeight="1">
      <c r="A79" s="917"/>
      <c r="B79" s="917"/>
      <c r="C79" s="918" t="s">
        <v>1252</v>
      </c>
      <c r="D79" s="923">
        <f>SUM(D78:D78)</f>
        <v>30000000000</v>
      </c>
      <c r="E79" s="923">
        <f>SUM(E78:E78)</f>
        <v>32253396880</v>
      </c>
      <c r="F79" s="923">
        <f t="shared" si="2"/>
        <v>2253396880</v>
      </c>
    </row>
    <row r="80" spans="1:6" ht="23.1" customHeight="1">
      <c r="A80" s="917">
        <v>141</v>
      </c>
      <c r="B80" s="917">
        <v>151</v>
      </c>
      <c r="C80" s="918" t="s">
        <v>1465</v>
      </c>
      <c r="D80" s="924"/>
      <c r="E80" s="924"/>
      <c r="F80" s="924">
        <f t="shared" si="2"/>
        <v>0</v>
      </c>
    </row>
    <row r="81" spans="1:8" ht="23.1" customHeight="1">
      <c r="A81" s="920">
        <v>14120</v>
      </c>
      <c r="B81" s="920">
        <v>15101</v>
      </c>
      <c r="C81" s="921" t="s">
        <v>737</v>
      </c>
      <c r="D81" s="922">
        <v>0</v>
      </c>
      <c r="E81" s="922">
        <v>404699250</v>
      </c>
      <c r="F81" s="922">
        <f t="shared" si="2"/>
        <v>404699250</v>
      </c>
    </row>
    <row r="82" spans="1:8" ht="23.1" customHeight="1">
      <c r="A82" s="920">
        <v>14130</v>
      </c>
      <c r="B82" s="920">
        <v>15102</v>
      </c>
      <c r="C82" s="921" t="s">
        <v>1466</v>
      </c>
      <c r="D82" s="247">
        <v>36000000000</v>
      </c>
      <c r="E82" s="925">
        <v>39232828840.317154</v>
      </c>
      <c r="F82" s="925">
        <f t="shared" si="2"/>
        <v>3232828840.3171539</v>
      </c>
    </row>
    <row r="83" spans="1:8" ht="23.1" customHeight="1">
      <c r="A83" s="917"/>
      <c r="B83" s="917"/>
      <c r="C83" s="918" t="s">
        <v>1252</v>
      </c>
      <c r="D83" s="939">
        <f>SUM(D81:D82)</f>
        <v>36000000000</v>
      </c>
      <c r="E83" s="940">
        <f>SUM(E81:E82)</f>
        <v>39637528090.317154</v>
      </c>
      <c r="F83" s="940">
        <f t="shared" si="2"/>
        <v>3637528090.3171539</v>
      </c>
    </row>
    <row r="84" spans="1:8" ht="23.1" customHeight="1">
      <c r="A84" s="941"/>
      <c r="B84" s="917"/>
      <c r="C84" s="918" t="s">
        <v>1252</v>
      </c>
      <c r="D84" s="923">
        <f>D83+D79+D76+D72+D57+D47+D34+D28+D16+D10+D6</f>
        <v>1161200495328.7979</v>
      </c>
      <c r="E84" s="923">
        <f>E83+E79+E76+E72+E57+E47+E34+E28+E16+E10+E6+E50</f>
        <v>1446645950556.0264</v>
      </c>
      <c r="F84" s="923">
        <f t="shared" si="2"/>
        <v>285445455227.22852</v>
      </c>
      <c r="G84" s="916"/>
      <c r="H84" s="916"/>
    </row>
    <row r="85" spans="1:8" ht="23.1" customHeight="1">
      <c r="A85" s="941"/>
      <c r="B85" s="917"/>
      <c r="C85" s="918" t="s">
        <v>778</v>
      </c>
      <c r="D85" s="923">
        <f>D84+D2</f>
        <v>1217999999999.7979</v>
      </c>
      <c r="E85" s="923">
        <f>E84+E2</f>
        <v>1553204022280.0264</v>
      </c>
      <c r="F85" s="923">
        <f t="shared" si="2"/>
        <v>335204022280.22852</v>
      </c>
      <c r="G85" s="916"/>
      <c r="H85" s="916"/>
    </row>
    <row r="87" spans="1:8" ht="23.1" customHeight="1">
      <c r="D87" s="934"/>
      <c r="E87" s="947"/>
      <c r="F87" s="916"/>
    </row>
    <row r="88" spans="1:8" ht="23.1" customHeight="1">
      <c r="E88" s="943"/>
      <c r="F88" s="943"/>
      <c r="G88" s="916"/>
    </row>
    <row r="89" spans="1:8" ht="23.1" customHeight="1">
      <c r="E89" s="916"/>
      <c r="G89" s="944"/>
    </row>
    <row r="90" spans="1:8" ht="23.1" customHeight="1">
      <c r="E90" s="945"/>
      <c r="F90" s="945"/>
    </row>
    <row r="91" spans="1:8" ht="23.1" customHeight="1">
      <c r="E91" s="945"/>
      <c r="F91" s="945"/>
    </row>
  </sheetData>
  <pageMargins left="0.7" right="0.7" top="0.75" bottom="0.75" header="0.3" footer="0.3"/>
  <pageSetup paperSize="9" scale="35" orientation="portrait" r:id="rId1"/>
  <headerFooter>
    <oddHeader>&amp;C
&amp;"Agency FB,Bold"&amp;36SOO KOOBIDA GUUD EE MIISAANIYADDA 2017 OO MADAX XIGAYSAN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52"/>
  <sheetViews>
    <sheetView view="pageBreakPreview" topLeftCell="A31" zoomScale="60" workbookViewId="0">
      <selection activeCell="S52" sqref="S52"/>
    </sheetView>
  </sheetViews>
  <sheetFormatPr defaultRowHeight="23.1" customHeight="1"/>
  <cols>
    <col min="1" max="1" width="18.1640625" style="699" bestFit="1" customWidth="1"/>
    <col min="2" max="2" width="78.83203125" style="699" customWidth="1"/>
    <col min="3" max="3" width="17.5" style="699" hidden="1" customWidth="1"/>
    <col min="4" max="4" width="16.1640625" style="699" hidden="1" customWidth="1"/>
    <col min="5" max="5" width="18" style="699" hidden="1" customWidth="1"/>
    <col min="6" max="6" width="21.33203125" style="699" hidden="1" customWidth="1"/>
    <col min="7" max="8" width="0.1640625" style="699" hidden="1" customWidth="1"/>
    <col min="9" max="10" width="23.1640625" style="699" hidden="1" customWidth="1"/>
    <col min="11" max="11" width="0.1640625" style="699" hidden="1" customWidth="1"/>
    <col min="12" max="12" width="23.1640625" style="699" hidden="1" customWidth="1"/>
    <col min="13" max="13" width="24.5" style="699" hidden="1" customWidth="1"/>
    <col min="14" max="15" width="0.1640625" style="699" hidden="1" customWidth="1"/>
    <col min="16" max="16" width="29.5" style="699" hidden="1" customWidth="1"/>
    <col min="17" max="17" width="0.1640625" style="699" customWidth="1"/>
    <col min="18" max="19" width="29.83203125" style="699" customWidth="1"/>
    <col min="20" max="20" width="29.5" style="699" bestFit="1" customWidth="1"/>
    <col min="21" max="21" width="15.83203125" style="699" customWidth="1"/>
    <col min="22" max="16384" width="9.33203125" style="699"/>
  </cols>
  <sheetData>
    <row r="1" spans="1:20" ht="23.1" customHeight="1">
      <c r="A1" s="545" t="s">
        <v>40</v>
      </c>
      <c r="B1" s="545" t="s">
        <v>1419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698"/>
    </row>
    <row r="2" spans="1:20" s="700" customFormat="1" ht="23.1" customHeight="1">
      <c r="A2" s="476">
        <v>210</v>
      </c>
      <c r="B2" s="303" t="s">
        <v>137</v>
      </c>
      <c r="C2" s="303" t="s">
        <v>38</v>
      </c>
      <c r="D2" s="303" t="s">
        <v>2</v>
      </c>
      <c r="E2" s="303" t="s">
        <v>43</v>
      </c>
      <c r="F2" s="303" t="s">
        <v>46</v>
      </c>
      <c r="G2" s="303" t="s">
        <v>57</v>
      </c>
      <c r="H2" s="303" t="s">
        <v>64</v>
      </c>
      <c r="I2" s="303" t="s">
        <v>103</v>
      </c>
      <c r="J2" s="303" t="s">
        <v>107</v>
      </c>
      <c r="K2" s="303" t="s">
        <v>116</v>
      </c>
      <c r="L2" s="303" t="s">
        <v>151</v>
      </c>
      <c r="M2" s="303" t="s">
        <v>294</v>
      </c>
      <c r="N2" s="303" t="s">
        <v>440</v>
      </c>
      <c r="O2" s="303" t="s">
        <v>806</v>
      </c>
      <c r="P2" s="303" t="s">
        <v>872</v>
      </c>
      <c r="Q2" s="303" t="s">
        <v>973</v>
      </c>
      <c r="R2" s="303" t="s">
        <v>1160</v>
      </c>
      <c r="S2" s="303" t="s">
        <v>1320</v>
      </c>
      <c r="T2" s="303" t="s">
        <v>56</v>
      </c>
    </row>
    <row r="3" spans="1:20" ht="23.1" customHeight="1">
      <c r="A3" s="476">
        <v>2110</v>
      </c>
      <c r="B3" s="303" t="s">
        <v>213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698"/>
    </row>
    <row r="4" spans="1:20" ht="23.1" customHeight="1">
      <c r="A4" s="392">
        <v>21101</v>
      </c>
      <c r="B4" s="302" t="s">
        <v>28</v>
      </c>
      <c r="C4" s="302">
        <v>59076000</v>
      </c>
      <c r="D4" s="302">
        <v>83712000</v>
      </c>
      <c r="E4" s="302">
        <v>70656000</v>
      </c>
      <c r="F4" s="302">
        <v>108612000</v>
      </c>
      <c r="G4" s="302">
        <v>102972000</v>
      </c>
      <c r="H4" s="302">
        <v>105852000</v>
      </c>
      <c r="I4" s="302">
        <v>131630200</v>
      </c>
      <c r="J4" s="302">
        <f>139885200+54000000+6000000</f>
        <v>199885200</v>
      </c>
      <c r="K4" s="302">
        <v>211885200</v>
      </c>
      <c r="L4" s="302">
        <v>276426800</v>
      </c>
      <c r="M4" s="302">
        <f>shaqaalaha2011!H13+72000000</f>
        <v>280603200</v>
      </c>
      <c r="N4" s="302">
        <v>244732800</v>
      </c>
      <c r="O4" s="302">
        <v>244732800</v>
      </c>
      <c r="P4" s="302">
        <v>465379200</v>
      </c>
      <c r="Q4" s="302">
        <v>599601600</v>
      </c>
      <c r="R4" s="302">
        <v>652991040</v>
      </c>
      <c r="S4" s="302">
        <v>980714592</v>
      </c>
      <c r="T4" s="402">
        <f>S4-R4</f>
        <v>327723552</v>
      </c>
    </row>
    <row r="5" spans="1:20" ht="23.1" customHeight="1">
      <c r="A5" s="392">
        <v>21102</v>
      </c>
      <c r="B5" s="302" t="s">
        <v>552</v>
      </c>
      <c r="C5" s="302">
        <v>1360000</v>
      </c>
      <c r="D5" s="302">
        <v>0</v>
      </c>
      <c r="E5" s="302">
        <v>0</v>
      </c>
      <c r="F5" s="302">
        <v>0</v>
      </c>
      <c r="G5" s="302">
        <v>0</v>
      </c>
      <c r="H5" s="302">
        <v>0</v>
      </c>
      <c r="I5" s="302">
        <v>0</v>
      </c>
      <c r="J5" s="302">
        <v>0</v>
      </c>
      <c r="K5" s="302">
        <v>0</v>
      </c>
      <c r="L5" s="302">
        <v>0</v>
      </c>
      <c r="M5" s="302">
        <v>0</v>
      </c>
      <c r="N5" s="302">
        <v>291600000</v>
      </c>
      <c r="O5" s="302">
        <v>291600000</v>
      </c>
      <c r="P5" s="302">
        <v>291600000</v>
      </c>
      <c r="Q5" s="302">
        <v>291600000</v>
      </c>
      <c r="R5" s="302">
        <v>291600000</v>
      </c>
      <c r="S5" s="302">
        <v>291600000</v>
      </c>
      <c r="T5" s="402">
        <f t="shared" ref="T5:T52" si="0">S5-R5</f>
        <v>0</v>
      </c>
    </row>
    <row r="6" spans="1:20" ht="23.1" customHeight="1">
      <c r="A6" s="392">
        <v>21103</v>
      </c>
      <c r="B6" s="302" t="s">
        <v>808</v>
      </c>
      <c r="C6" s="302">
        <v>11100000</v>
      </c>
      <c r="D6" s="302">
        <v>10800000</v>
      </c>
      <c r="E6" s="302">
        <v>10800000</v>
      </c>
      <c r="F6" s="302">
        <v>10800000</v>
      </c>
      <c r="G6" s="302">
        <v>32400000</v>
      </c>
      <c r="H6" s="302">
        <v>32400000</v>
      </c>
      <c r="I6" s="302">
        <v>32400000</v>
      </c>
      <c r="J6" s="302">
        <f>32400000+32400000+1440000</f>
        <v>66240000</v>
      </c>
      <c r="K6" s="302">
        <f>66240000+1440000+7920000</f>
        <v>75600000</v>
      </c>
      <c r="L6" s="302">
        <f>97200000+2400000</f>
        <v>99600000</v>
      </c>
      <c r="M6" s="302">
        <f>97200000+2400000</f>
        <v>99600000</v>
      </c>
      <c r="N6" s="302">
        <v>85200000</v>
      </c>
      <c r="O6" s="302">
        <v>273600000</v>
      </c>
      <c r="P6" s="302">
        <v>324000000</v>
      </c>
      <c r="Q6" s="302">
        <v>378000000</v>
      </c>
      <c r="R6" s="302">
        <v>378000000</v>
      </c>
      <c r="S6" s="861">
        <v>378000000</v>
      </c>
      <c r="T6" s="402">
        <f t="shared" si="0"/>
        <v>0</v>
      </c>
    </row>
    <row r="7" spans="1:20" s="701" customFormat="1" ht="23.1" customHeight="1">
      <c r="A7" s="392">
        <v>21105</v>
      </c>
      <c r="B7" s="302" t="s">
        <v>526</v>
      </c>
      <c r="C7" s="303">
        <f t="shared" ref="C7:J7" si="1">SUM(C4:C6)</f>
        <v>71536000</v>
      </c>
      <c r="D7" s="303">
        <f t="shared" si="1"/>
        <v>94512000</v>
      </c>
      <c r="E7" s="303">
        <f t="shared" si="1"/>
        <v>81456000</v>
      </c>
      <c r="F7" s="303">
        <f t="shared" si="1"/>
        <v>119412000</v>
      </c>
      <c r="G7" s="303">
        <f t="shared" si="1"/>
        <v>135372000</v>
      </c>
      <c r="H7" s="303">
        <f t="shared" si="1"/>
        <v>138252000</v>
      </c>
      <c r="I7" s="303">
        <f t="shared" si="1"/>
        <v>164030200</v>
      </c>
      <c r="J7" s="303">
        <f t="shared" si="1"/>
        <v>266125200</v>
      </c>
      <c r="K7" s="302">
        <v>3912000</v>
      </c>
      <c r="L7" s="302">
        <v>18000000</v>
      </c>
      <c r="M7" s="302">
        <v>18000000</v>
      </c>
      <c r="N7" s="302">
        <f>M7</f>
        <v>18000000</v>
      </c>
      <c r="O7" s="302">
        <f>N7</f>
        <v>18000000</v>
      </c>
      <c r="P7" s="302">
        <f>O7</f>
        <v>18000000</v>
      </c>
      <c r="Q7" s="302">
        <f>P7</f>
        <v>18000000</v>
      </c>
      <c r="R7" s="755">
        <v>668400000</v>
      </c>
      <c r="S7" s="862">
        <v>910800000</v>
      </c>
      <c r="T7" s="402">
        <f t="shared" si="0"/>
        <v>242400000</v>
      </c>
    </row>
    <row r="8" spans="1:20" ht="23.1" customHeight="1">
      <c r="A8" s="476">
        <v>2120</v>
      </c>
      <c r="B8" s="303" t="s">
        <v>218</v>
      </c>
      <c r="C8" s="302">
        <v>0</v>
      </c>
      <c r="D8" s="302">
        <v>0</v>
      </c>
      <c r="E8" s="302">
        <v>0</v>
      </c>
      <c r="F8" s="302">
        <v>0</v>
      </c>
      <c r="G8" s="302"/>
      <c r="H8" s="302"/>
      <c r="I8" s="302"/>
      <c r="J8" s="302"/>
      <c r="K8" s="303">
        <f>SUM(K4:K7)</f>
        <v>291397200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863">
        <v>0</v>
      </c>
      <c r="T8" s="402">
        <f t="shared" si="0"/>
        <v>0</v>
      </c>
    </row>
    <row r="9" spans="1:20" ht="23.1" customHeight="1">
      <c r="A9" s="392">
        <v>21203</v>
      </c>
      <c r="B9" s="302" t="s">
        <v>419</v>
      </c>
      <c r="C9" s="302">
        <v>12600000</v>
      </c>
      <c r="D9" s="302">
        <v>13600000</v>
      </c>
      <c r="E9" s="302">
        <v>13600000</v>
      </c>
      <c r="F9" s="302">
        <v>13600000</v>
      </c>
      <c r="G9" s="302">
        <v>18600000</v>
      </c>
      <c r="H9" s="302">
        <v>20000000</v>
      </c>
      <c r="I9" s="302">
        <v>26068000</v>
      </c>
      <c r="J9" s="302">
        <v>30000000</v>
      </c>
      <c r="K9" s="302">
        <v>0</v>
      </c>
      <c r="L9" s="302">
        <v>0</v>
      </c>
      <c r="M9" s="302">
        <v>2074800</v>
      </c>
      <c r="N9" s="302">
        <v>0</v>
      </c>
      <c r="O9" s="302">
        <v>0</v>
      </c>
      <c r="P9" s="302">
        <v>0</v>
      </c>
      <c r="Q9" s="302">
        <v>0</v>
      </c>
      <c r="R9" s="302">
        <v>0</v>
      </c>
      <c r="S9" s="861">
        <v>0</v>
      </c>
      <c r="T9" s="402">
        <f t="shared" si="0"/>
        <v>0</v>
      </c>
    </row>
    <row r="10" spans="1:20" ht="23.1" customHeight="1">
      <c r="A10" s="392"/>
      <c r="B10" s="303" t="s">
        <v>92</v>
      </c>
      <c r="C10" s="302">
        <v>4500000</v>
      </c>
      <c r="D10" s="302">
        <v>2000000</v>
      </c>
      <c r="E10" s="302">
        <v>2000000</v>
      </c>
      <c r="F10" s="302">
        <v>4000000</v>
      </c>
      <c r="G10" s="302">
        <v>8000000</v>
      </c>
      <c r="H10" s="302">
        <v>12000000</v>
      </c>
      <c r="I10" s="302">
        <v>63308000</v>
      </c>
      <c r="J10" s="302">
        <v>40000000</v>
      </c>
      <c r="K10" s="302">
        <v>1552136000</v>
      </c>
      <c r="L10" s="303">
        <f t="shared" ref="L10:P10" si="2">SUM(L4:L9)</f>
        <v>394026800</v>
      </c>
      <c r="M10" s="303">
        <f t="shared" si="2"/>
        <v>400278000</v>
      </c>
      <c r="N10" s="303">
        <f t="shared" si="2"/>
        <v>639532800</v>
      </c>
      <c r="O10" s="303">
        <f t="shared" si="2"/>
        <v>827932800</v>
      </c>
      <c r="P10" s="303">
        <f t="shared" si="2"/>
        <v>1098979200</v>
      </c>
      <c r="Q10" s="303">
        <f>SUM(Q4:Q9)</f>
        <v>1287201600</v>
      </c>
      <c r="R10" s="303">
        <f>SUM(R4:R9)</f>
        <v>1990991040</v>
      </c>
      <c r="S10" s="863">
        <f>SUM(S4:S9)</f>
        <v>2561114592</v>
      </c>
      <c r="T10" s="400">
        <f t="shared" si="0"/>
        <v>570123552</v>
      </c>
    </row>
    <row r="11" spans="1:20" ht="23.1" customHeight="1">
      <c r="A11" s="476">
        <v>220</v>
      </c>
      <c r="B11" s="303" t="s">
        <v>225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74480000</v>
      </c>
      <c r="L11" s="302"/>
      <c r="M11" s="302"/>
      <c r="N11" s="302"/>
      <c r="O11" s="302"/>
      <c r="P11" s="302"/>
      <c r="Q11" s="302"/>
      <c r="R11" s="302"/>
      <c r="S11" s="861"/>
      <c r="T11" s="402">
        <f t="shared" si="0"/>
        <v>0</v>
      </c>
    </row>
    <row r="12" spans="1:20" ht="23.1" customHeight="1">
      <c r="A12" s="476">
        <v>2210</v>
      </c>
      <c r="B12" s="303" t="s">
        <v>226</v>
      </c>
      <c r="C12" s="302"/>
      <c r="D12" s="302"/>
      <c r="E12" s="302"/>
      <c r="F12" s="302"/>
      <c r="G12" s="302"/>
      <c r="H12" s="302"/>
      <c r="I12" s="302"/>
      <c r="J12" s="302"/>
      <c r="K12" s="302">
        <v>8043840</v>
      </c>
      <c r="L12" s="302"/>
      <c r="M12" s="302"/>
      <c r="N12" s="302"/>
      <c r="O12" s="302"/>
      <c r="P12" s="302"/>
      <c r="Q12" s="302"/>
      <c r="R12" s="302"/>
      <c r="S12" s="861"/>
      <c r="T12" s="402">
        <f t="shared" si="0"/>
        <v>0</v>
      </c>
    </row>
    <row r="13" spans="1:20" s="701" customFormat="1" ht="23.1" customHeight="1">
      <c r="A13" s="392">
        <v>22101</v>
      </c>
      <c r="B13" s="302" t="s">
        <v>33</v>
      </c>
      <c r="C13" s="303">
        <f>SUM(C9:C11)</f>
        <v>17100000</v>
      </c>
      <c r="D13" s="303">
        <f>SUM(D9:D11)</f>
        <v>15600000</v>
      </c>
      <c r="E13" s="303">
        <f>SUM(E8:E11)</f>
        <v>15600000</v>
      </c>
      <c r="F13" s="303">
        <f>SUM(F8:F11)</f>
        <v>17600000</v>
      </c>
      <c r="G13" s="303">
        <f>SUM(G9:G11)</f>
        <v>26600000</v>
      </c>
      <c r="H13" s="303">
        <f>SUM(H9:H11)</f>
        <v>32000000</v>
      </c>
      <c r="I13" s="303">
        <f>SUM(I9:I11)</f>
        <v>89376000</v>
      </c>
      <c r="J13" s="303">
        <f>SUM(J9:J11)</f>
        <v>70000000</v>
      </c>
      <c r="K13" s="302">
        <v>0</v>
      </c>
      <c r="L13" s="302">
        <v>11172000</v>
      </c>
      <c r="M13" s="302">
        <f>11172000*70%</f>
        <v>7820399.9999999991</v>
      </c>
      <c r="N13" s="302">
        <f>11172000*70%</f>
        <v>7820399.9999999991</v>
      </c>
      <c r="O13" s="302">
        <f>11172000*70%</f>
        <v>7820399.9999999991</v>
      </c>
      <c r="P13" s="302">
        <v>16220400</v>
      </c>
      <c r="Q13" s="302">
        <v>16220400</v>
      </c>
      <c r="R13" s="302">
        <v>16220400</v>
      </c>
      <c r="S13" s="861">
        <v>16220400</v>
      </c>
      <c r="T13" s="402">
        <f t="shared" si="0"/>
        <v>0</v>
      </c>
    </row>
    <row r="14" spans="1:20" ht="23.1" customHeight="1">
      <c r="A14" s="392">
        <v>22102</v>
      </c>
      <c r="B14" s="302" t="s">
        <v>124</v>
      </c>
      <c r="C14" s="302"/>
      <c r="D14" s="302">
        <v>0</v>
      </c>
      <c r="E14" s="302">
        <v>0</v>
      </c>
      <c r="F14" s="302">
        <v>0</v>
      </c>
      <c r="G14" s="302"/>
      <c r="H14" s="302"/>
      <c r="I14" s="302"/>
      <c r="J14" s="302"/>
      <c r="K14" s="302">
        <v>42826000</v>
      </c>
      <c r="L14" s="302">
        <v>12000000</v>
      </c>
      <c r="M14" s="302">
        <f>12000000*70%</f>
        <v>8400000</v>
      </c>
      <c r="N14" s="302">
        <f>12000000*70%</f>
        <v>8400000</v>
      </c>
      <c r="O14" s="302">
        <f>12000000*70%</f>
        <v>8400000</v>
      </c>
      <c r="P14" s="302">
        <v>0</v>
      </c>
      <c r="Q14" s="302">
        <v>0</v>
      </c>
      <c r="R14" s="302">
        <v>0</v>
      </c>
      <c r="S14" s="861">
        <v>0</v>
      </c>
      <c r="T14" s="402">
        <f t="shared" si="0"/>
        <v>0</v>
      </c>
    </row>
    <row r="15" spans="1:20" ht="23.1" customHeight="1">
      <c r="A15" s="392">
        <v>22103</v>
      </c>
      <c r="B15" s="302" t="s">
        <v>125</v>
      </c>
      <c r="C15" s="302"/>
      <c r="D15" s="302"/>
      <c r="E15" s="302"/>
      <c r="F15" s="302">
        <v>0</v>
      </c>
      <c r="G15" s="302">
        <v>0</v>
      </c>
      <c r="H15" s="302">
        <v>100000000</v>
      </c>
      <c r="I15" s="302">
        <v>0</v>
      </c>
      <c r="J15" s="302">
        <v>0</v>
      </c>
      <c r="K15" s="302">
        <v>7448000</v>
      </c>
      <c r="L15" s="302">
        <v>400000000</v>
      </c>
      <c r="M15" s="302">
        <f>400000000*70%</f>
        <v>280000000</v>
      </c>
      <c r="N15" s="302">
        <f>M15</f>
        <v>280000000</v>
      </c>
      <c r="O15" s="302">
        <v>530000000</v>
      </c>
      <c r="P15" s="302">
        <v>730000000</v>
      </c>
      <c r="Q15" s="302">
        <v>1000000000</v>
      </c>
      <c r="R15" s="302">
        <v>1200000000</v>
      </c>
      <c r="S15" s="861">
        <v>1700000000</v>
      </c>
      <c r="T15" s="402">
        <f t="shared" si="0"/>
        <v>500000000</v>
      </c>
    </row>
    <row r="16" spans="1:20" ht="23.1" customHeight="1">
      <c r="A16" s="392">
        <v>22104</v>
      </c>
      <c r="B16" s="302" t="s">
        <v>157</v>
      </c>
      <c r="C16" s="302">
        <v>15000000</v>
      </c>
      <c r="D16" s="302">
        <v>10000000</v>
      </c>
      <c r="E16" s="302">
        <v>10000000</v>
      </c>
      <c r="F16" s="302">
        <v>10000000</v>
      </c>
      <c r="G16" s="302">
        <v>13000000</v>
      </c>
      <c r="H16" s="302">
        <v>13000000</v>
      </c>
      <c r="I16" s="302">
        <v>14896000</v>
      </c>
      <c r="J16" s="302">
        <v>35000000</v>
      </c>
      <c r="K16" s="302">
        <v>14896000</v>
      </c>
      <c r="L16" s="302">
        <v>150000000</v>
      </c>
      <c r="M16" s="302">
        <f>150000000*70%</f>
        <v>105000000</v>
      </c>
      <c r="N16" s="302">
        <f>150000000*70%</f>
        <v>105000000</v>
      </c>
      <c r="O16" s="302">
        <f>150000000*70%</f>
        <v>105000000</v>
      </c>
      <c r="P16" s="302">
        <f>150000000*70%</f>
        <v>105000000</v>
      </c>
      <c r="Q16" s="302">
        <v>150000000</v>
      </c>
      <c r="R16" s="302">
        <v>200000000</v>
      </c>
      <c r="S16" s="861">
        <v>200000000</v>
      </c>
      <c r="T16" s="402">
        <f t="shared" si="0"/>
        <v>0</v>
      </c>
    </row>
    <row r="17" spans="1:21" ht="23.1" customHeight="1">
      <c r="A17" s="392">
        <v>22105</v>
      </c>
      <c r="B17" s="302" t="s">
        <v>135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8043840</v>
      </c>
      <c r="M17" s="302">
        <f t="shared" ref="M17:S17" si="3">32843840*70%+10000000</f>
        <v>32990688</v>
      </c>
      <c r="N17" s="302">
        <f t="shared" si="3"/>
        <v>32990688</v>
      </c>
      <c r="O17" s="302">
        <f t="shared" si="3"/>
        <v>32990688</v>
      </c>
      <c r="P17" s="302">
        <f t="shared" si="3"/>
        <v>32990688</v>
      </c>
      <c r="Q17" s="302">
        <f t="shared" si="3"/>
        <v>32990688</v>
      </c>
      <c r="R17" s="302">
        <f t="shared" si="3"/>
        <v>32990688</v>
      </c>
      <c r="S17" s="861">
        <f t="shared" si="3"/>
        <v>32990688</v>
      </c>
      <c r="T17" s="402">
        <f t="shared" si="0"/>
        <v>0</v>
      </c>
    </row>
    <row r="18" spans="1:21" ht="23.1" customHeight="1">
      <c r="A18" s="392">
        <v>22106</v>
      </c>
      <c r="B18" s="302" t="s">
        <v>126</v>
      </c>
      <c r="C18" s="302"/>
      <c r="D18" s="302"/>
      <c r="E18" s="302"/>
      <c r="F18" s="302"/>
      <c r="G18" s="302"/>
      <c r="H18" s="302"/>
      <c r="I18" s="302"/>
      <c r="J18" s="302"/>
      <c r="K18" s="302">
        <v>3553800000</v>
      </c>
      <c r="L18" s="302">
        <v>12000000</v>
      </c>
      <c r="M18" s="302">
        <f>12000000*70%</f>
        <v>8400000</v>
      </c>
      <c r="N18" s="302">
        <v>0</v>
      </c>
      <c r="O18" s="302">
        <v>0</v>
      </c>
      <c r="P18" s="302">
        <v>0</v>
      </c>
      <c r="Q18" s="302">
        <v>0</v>
      </c>
      <c r="R18" s="302">
        <v>0</v>
      </c>
      <c r="S18" s="861">
        <v>0</v>
      </c>
      <c r="T18" s="402">
        <f t="shared" si="0"/>
        <v>0</v>
      </c>
    </row>
    <row r="19" spans="1:21" ht="23.1" customHeight="1">
      <c r="A19" s="392">
        <v>22107</v>
      </c>
      <c r="B19" s="302" t="s">
        <v>48</v>
      </c>
      <c r="C19" s="302"/>
      <c r="D19" s="302"/>
      <c r="E19" s="302"/>
      <c r="F19" s="302"/>
      <c r="G19" s="302"/>
      <c r="H19" s="302"/>
      <c r="I19" s="302"/>
      <c r="J19" s="302"/>
      <c r="K19" s="302">
        <v>14896000</v>
      </c>
      <c r="L19" s="302">
        <v>165378000</v>
      </c>
      <c r="M19" s="302">
        <f>165378000*70%</f>
        <v>115764600</v>
      </c>
      <c r="N19" s="302">
        <f>M19*70%</f>
        <v>81035220</v>
      </c>
      <c r="O19" s="302">
        <v>120000000</v>
      </c>
      <c r="P19" s="302">
        <v>220000000</v>
      </c>
      <c r="Q19" s="302">
        <v>320000000</v>
      </c>
      <c r="R19" s="302">
        <v>320000000</v>
      </c>
      <c r="S19" s="861">
        <v>470000000</v>
      </c>
      <c r="T19" s="402">
        <f t="shared" si="0"/>
        <v>150000000</v>
      </c>
    </row>
    <row r="20" spans="1:21" ht="23.1" customHeight="1">
      <c r="A20" s="392">
        <v>22108</v>
      </c>
      <c r="B20" s="302" t="s">
        <v>356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>
        <v>0</v>
      </c>
      <c r="O20" s="302">
        <v>18192000</v>
      </c>
      <c r="P20" s="302">
        <v>18192000</v>
      </c>
      <c r="Q20" s="302">
        <v>18192000</v>
      </c>
      <c r="R20" s="302">
        <v>18192000</v>
      </c>
      <c r="S20" s="861">
        <v>18192000</v>
      </c>
      <c r="T20" s="402">
        <f t="shared" si="0"/>
        <v>0</v>
      </c>
    </row>
    <row r="21" spans="1:21" ht="23.1" customHeight="1">
      <c r="A21" s="392">
        <v>22109</v>
      </c>
      <c r="B21" s="302" t="s">
        <v>136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3">
        <f>SUM(K9:K19)</f>
        <v>5268525840</v>
      </c>
      <c r="L21" s="302">
        <v>30000000</v>
      </c>
      <c r="M21" s="302">
        <f>30000000*70%</f>
        <v>21000000</v>
      </c>
      <c r="N21" s="302">
        <f>30000000*70%</f>
        <v>21000000</v>
      </c>
      <c r="O21" s="302">
        <v>31000000</v>
      </c>
      <c r="P21" s="302">
        <v>31000000</v>
      </c>
      <c r="Q21" s="302">
        <v>31000000</v>
      </c>
      <c r="R21" s="302">
        <v>81000000</v>
      </c>
      <c r="S21" s="861">
        <v>81000000</v>
      </c>
      <c r="T21" s="402">
        <f t="shared" si="0"/>
        <v>0</v>
      </c>
    </row>
    <row r="22" spans="1:21" s="701" customFormat="1" ht="23.1" customHeight="1">
      <c r="A22" s="392">
        <v>22112</v>
      </c>
      <c r="B22" s="302" t="s">
        <v>35</v>
      </c>
      <c r="C22" s="303">
        <f t="shared" ref="C22:J22" si="4">SUM(C16:C21)</f>
        <v>15000000</v>
      </c>
      <c r="D22" s="303">
        <f t="shared" si="4"/>
        <v>10000000</v>
      </c>
      <c r="E22" s="303">
        <f t="shared" si="4"/>
        <v>10000000</v>
      </c>
      <c r="F22" s="303">
        <f t="shared" si="4"/>
        <v>10000000</v>
      </c>
      <c r="G22" s="303">
        <f t="shared" si="4"/>
        <v>13000000</v>
      </c>
      <c r="H22" s="303">
        <f t="shared" si="4"/>
        <v>13000000</v>
      </c>
      <c r="I22" s="303">
        <f t="shared" si="4"/>
        <v>14896000</v>
      </c>
      <c r="J22" s="303">
        <f t="shared" si="4"/>
        <v>35000000</v>
      </c>
      <c r="K22" s="303"/>
      <c r="L22" s="302">
        <v>45000000</v>
      </c>
      <c r="M22" s="302">
        <f t="shared" ref="M22:R22" si="5">45000000*70%</f>
        <v>31499999.999999996</v>
      </c>
      <c r="N22" s="302">
        <f t="shared" si="5"/>
        <v>31499999.999999996</v>
      </c>
      <c r="O22" s="302">
        <f t="shared" si="5"/>
        <v>31499999.999999996</v>
      </c>
      <c r="P22" s="302">
        <f t="shared" si="5"/>
        <v>31499999.999999996</v>
      </c>
      <c r="Q22" s="302">
        <f t="shared" si="5"/>
        <v>31499999.999999996</v>
      </c>
      <c r="R22" s="302">
        <f t="shared" si="5"/>
        <v>31499999.999999996</v>
      </c>
      <c r="S22" s="861">
        <v>111500000</v>
      </c>
      <c r="T22" s="402">
        <f t="shared" si="0"/>
        <v>80000000</v>
      </c>
    </row>
    <row r="23" spans="1:21" ht="23.1" customHeight="1">
      <c r="A23" s="392">
        <v>22132</v>
      </c>
      <c r="B23" s="302" t="s">
        <v>1165</v>
      </c>
      <c r="C23" s="302">
        <v>36500000</v>
      </c>
      <c r="D23" s="302">
        <v>14700000</v>
      </c>
      <c r="E23" s="302">
        <v>14700000</v>
      </c>
      <c r="F23" s="302">
        <v>36876000</v>
      </c>
      <c r="G23" s="302">
        <v>67000000</v>
      </c>
      <c r="H23" s="302">
        <v>67000000</v>
      </c>
      <c r="I23" s="302">
        <v>74480000</v>
      </c>
      <c r="J23" s="302">
        <v>100000000</v>
      </c>
      <c r="K23" s="302">
        <v>63308000</v>
      </c>
      <c r="L23" s="302">
        <v>28000000</v>
      </c>
      <c r="M23" s="302">
        <f>558000000*70%</f>
        <v>390600000</v>
      </c>
      <c r="N23" s="302">
        <v>0</v>
      </c>
      <c r="O23" s="302">
        <v>0</v>
      </c>
      <c r="P23" s="302">
        <v>0</v>
      </c>
      <c r="Q23" s="302">
        <v>0</v>
      </c>
      <c r="R23" s="302">
        <v>1100000000</v>
      </c>
      <c r="S23" s="861">
        <v>1900000000</v>
      </c>
      <c r="T23" s="402">
        <f t="shared" si="0"/>
        <v>800000000</v>
      </c>
    </row>
    <row r="24" spans="1:21" ht="23.1" customHeight="1">
      <c r="A24" s="392">
        <v>22134</v>
      </c>
      <c r="B24" s="302" t="s">
        <v>391</v>
      </c>
      <c r="C24" s="302"/>
      <c r="D24" s="302"/>
      <c r="E24" s="302"/>
      <c r="F24" s="302"/>
      <c r="G24" s="302"/>
      <c r="H24" s="302"/>
      <c r="I24" s="302"/>
      <c r="J24" s="302"/>
      <c r="K24" s="302">
        <v>0</v>
      </c>
      <c r="L24" s="302">
        <v>0</v>
      </c>
      <c r="M24" s="302">
        <f>600000000*70%</f>
        <v>420000000</v>
      </c>
      <c r="N24" s="302">
        <f>M24*70%</f>
        <v>294000000</v>
      </c>
      <c r="O24" s="302">
        <v>194000000</v>
      </c>
      <c r="P24" s="302">
        <v>194000000</v>
      </c>
      <c r="Q24" s="302">
        <v>194000000</v>
      </c>
      <c r="R24" s="302">
        <v>194000000</v>
      </c>
      <c r="S24" s="861">
        <v>194000000</v>
      </c>
      <c r="T24" s="402">
        <f t="shared" si="0"/>
        <v>0</v>
      </c>
    </row>
    <row r="25" spans="1:21" ht="23.1" customHeight="1">
      <c r="A25" s="392">
        <v>22137</v>
      </c>
      <c r="B25" s="302" t="s">
        <v>293</v>
      </c>
      <c r="C25" s="302"/>
      <c r="D25" s="302"/>
      <c r="E25" s="302"/>
      <c r="F25" s="302"/>
      <c r="G25" s="302"/>
      <c r="H25" s="302"/>
      <c r="I25" s="302"/>
      <c r="J25" s="302"/>
      <c r="K25" s="303"/>
      <c r="L25" s="302">
        <v>14896000</v>
      </c>
      <c r="M25" s="302">
        <f>14896000*70%</f>
        <v>10427200</v>
      </c>
      <c r="N25" s="302">
        <f>14896000*70%</f>
        <v>10427200</v>
      </c>
      <c r="O25" s="302">
        <f>14896000*70%</f>
        <v>10427200</v>
      </c>
      <c r="P25" s="302">
        <f>14896000*70%</f>
        <v>10427200</v>
      </c>
      <c r="Q25" s="302">
        <v>150000000</v>
      </c>
      <c r="R25" s="302">
        <v>150000000</v>
      </c>
      <c r="S25" s="861">
        <v>150000000</v>
      </c>
      <c r="T25" s="402">
        <f t="shared" si="0"/>
        <v>0</v>
      </c>
    </row>
    <row r="26" spans="1:21" ht="23.1" customHeight="1">
      <c r="A26" s="392">
        <v>22139</v>
      </c>
      <c r="B26" s="302" t="s">
        <v>292</v>
      </c>
      <c r="C26" s="302"/>
      <c r="D26" s="302"/>
      <c r="E26" s="302"/>
      <c r="F26" s="302"/>
      <c r="G26" s="302"/>
      <c r="H26" s="302"/>
      <c r="I26" s="302"/>
      <c r="J26" s="302"/>
      <c r="K26" s="303"/>
      <c r="L26" s="302">
        <v>2835714000</v>
      </c>
      <c r="M26" s="302">
        <f>2835714000+1714686000</f>
        <v>4550400000</v>
      </c>
      <c r="N26" s="302">
        <f>2835714000+1714686000</f>
        <v>4550400000</v>
      </c>
      <c r="O26" s="302">
        <f>2835714000+1714686000</f>
        <v>4550400000</v>
      </c>
      <c r="P26" s="302">
        <v>5550400000</v>
      </c>
      <c r="Q26" s="302">
        <v>5550400000</v>
      </c>
      <c r="R26" s="302">
        <v>8550400000</v>
      </c>
      <c r="S26" s="861">
        <v>10050400000</v>
      </c>
      <c r="T26" s="402">
        <f t="shared" si="0"/>
        <v>1500000000</v>
      </c>
    </row>
    <row r="27" spans="1:21" ht="23.1" customHeight="1">
      <c r="A27" s="392">
        <v>22144</v>
      </c>
      <c r="B27" s="302" t="s">
        <v>853</v>
      </c>
      <c r="C27" s="302"/>
      <c r="D27" s="302"/>
      <c r="E27" s="302"/>
      <c r="F27" s="302"/>
      <c r="G27" s="302"/>
      <c r="H27" s="302"/>
      <c r="I27" s="302"/>
      <c r="J27" s="302"/>
      <c r="K27" s="303"/>
      <c r="L27" s="302"/>
      <c r="M27" s="302"/>
      <c r="N27" s="302">
        <v>0</v>
      </c>
      <c r="O27" s="302">
        <v>200000000</v>
      </c>
      <c r="P27" s="302">
        <v>200000000</v>
      </c>
      <c r="Q27" s="302">
        <v>200000000</v>
      </c>
      <c r="R27" s="302">
        <v>200000000</v>
      </c>
      <c r="S27" s="861">
        <v>200000000</v>
      </c>
      <c r="T27" s="402">
        <f t="shared" si="0"/>
        <v>0</v>
      </c>
    </row>
    <row r="28" spans="1:21" ht="23.1" customHeight="1">
      <c r="A28" s="392">
        <v>22150</v>
      </c>
      <c r="B28" s="302" t="s">
        <v>510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>
        <v>200000000</v>
      </c>
      <c r="M28" s="302">
        <v>0</v>
      </c>
      <c r="N28" s="302">
        <v>3745000000</v>
      </c>
      <c r="O28" s="302">
        <v>3745000000</v>
      </c>
      <c r="P28" s="302">
        <v>4745000000</v>
      </c>
      <c r="Q28" s="302">
        <v>5425027200</v>
      </c>
      <c r="R28" s="302">
        <v>3425027200</v>
      </c>
      <c r="S28" s="861">
        <v>10000000000</v>
      </c>
      <c r="T28" s="402">
        <f t="shared" si="0"/>
        <v>6574972800</v>
      </c>
    </row>
    <row r="29" spans="1:21" ht="23.1" customHeight="1">
      <c r="A29" s="392">
        <v>22187</v>
      </c>
      <c r="B29" s="302" t="s">
        <v>1237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>
        <v>0</v>
      </c>
      <c r="O29" s="302">
        <v>388000000</v>
      </c>
      <c r="P29" s="302">
        <v>388000000</v>
      </c>
      <c r="Q29" s="302">
        <v>388000000</v>
      </c>
      <c r="R29" s="302">
        <v>388000000</v>
      </c>
      <c r="S29" s="861">
        <v>888000000</v>
      </c>
      <c r="T29" s="402">
        <f t="shared" si="0"/>
        <v>500000000</v>
      </c>
    </row>
    <row r="30" spans="1:21" ht="23.1" customHeight="1">
      <c r="A30" s="392"/>
      <c r="B30" s="303" t="s">
        <v>92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/>
      <c r="L30" s="303">
        <f>SUM(L13:L28)</f>
        <v>3912203840</v>
      </c>
      <c r="M30" s="303">
        <f>SUM(M13:M28)</f>
        <v>5982302888</v>
      </c>
      <c r="N30" s="303">
        <f t="shared" ref="N30:S30" si="6">SUM(N13:N29)</f>
        <v>9167573508</v>
      </c>
      <c r="O30" s="303">
        <f t="shared" si="6"/>
        <v>9972730288</v>
      </c>
      <c r="P30" s="303">
        <f t="shared" si="6"/>
        <v>12272730288</v>
      </c>
      <c r="Q30" s="303">
        <f t="shared" si="6"/>
        <v>13507330288</v>
      </c>
      <c r="R30" s="303">
        <f t="shared" si="6"/>
        <v>15907330288</v>
      </c>
      <c r="S30" s="863">
        <f t="shared" si="6"/>
        <v>26012303088</v>
      </c>
      <c r="T30" s="400">
        <f t="shared" si="0"/>
        <v>10104972800</v>
      </c>
    </row>
    <row r="31" spans="1:21" ht="23.1" customHeight="1">
      <c r="A31" s="476">
        <v>2220</v>
      </c>
      <c r="B31" s="303" t="s">
        <v>240</v>
      </c>
      <c r="C31" s="302">
        <v>803200000</v>
      </c>
      <c r="D31" s="302">
        <v>758200000</v>
      </c>
      <c r="E31" s="302">
        <f>884200000-126000000</f>
        <v>758200000</v>
      </c>
      <c r="F31" s="302">
        <f>1213800000+29400000+12600000</f>
        <v>1255800000</v>
      </c>
      <c r="G31" s="302">
        <v>1356600000</v>
      </c>
      <c r="H31" s="302">
        <v>1404900000</v>
      </c>
      <c r="I31" s="302">
        <v>1404900000</v>
      </c>
      <c r="J31" s="302">
        <v>2053800000</v>
      </c>
      <c r="K31" s="302">
        <v>0</v>
      </c>
      <c r="L31" s="302"/>
      <c r="M31" s="302"/>
      <c r="N31" s="302"/>
      <c r="O31" s="302"/>
      <c r="P31" s="302"/>
      <c r="Q31" s="302"/>
      <c r="R31" s="302"/>
      <c r="S31" s="861"/>
      <c r="T31" s="402">
        <f t="shared" si="0"/>
        <v>0</v>
      </c>
    </row>
    <row r="32" spans="1:21" ht="23.1" customHeight="1">
      <c r="A32" s="392">
        <v>22201</v>
      </c>
      <c r="B32" s="302" t="s">
        <v>132</v>
      </c>
      <c r="C32" s="302">
        <v>0</v>
      </c>
      <c r="D32" s="302">
        <v>40000000</v>
      </c>
      <c r="E32" s="302">
        <v>40000000</v>
      </c>
      <c r="F32" s="302">
        <v>40000000</v>
      </c>
      <c r="G32" s="302">
        <v>70000000</v>
      </c>
      <c r="H32" s="302">
        <v>85000000</v>
      </c>
      <c r="I32" s="302">
        <v>74480000</v>
      </c>
      <c r="J32" s="302">
        <v>110000000</v>
      </c>
      <c r="K32" s="303">
        <f t="shared" ref="K32:P32" si="7">SUM(K31)</f>
        <v>0</v>
      </c>
      <c r="L32" s="303">
        <f t="shared" si="7"/>
        <v>0</v>
      </c>
      <c r="M32" s="303">
        <f t="shared" si="7"/>
        <v>0</v>
      </c>
      <c r="N32" s="303">
        <f t="shared" si="7"/>
        <v>0</v>
      </c>
      <c r="O32" s="303">
        <f t="shared" si="7"/>
        <v>0</v>
      </c>
      <c r="P32" s="303">
        <f t="shared" si="7"/>
        <v>0</v>
      </c>
      <c r="Q32" s="303">
        <f>SUM(Q31)</f>
        <v>0</v>
      </c>
      <c r="R32" s="303">
        <f>SUM(R31)</f>
        <v>0</v>
      </c>
      <c r="S32" s="863">
        <f>SUM(S31)</f>
        <v>0</v>
      </c>
      <c r="T32" s="402">
        <f t="shared" si="0"/>
        <v>0</v>
      </c>
      <c r="U32" s="702"/>
    </row>
    <row r="33" spans="1:20" ht="23.1" customHeight="1">
      <c r="A33" s="392">
        <v>22202</v>
      </c>
      <c r="B33" s="302" t="s">
        <v>133</v>
      </c>
      <c r="C33" s="302">
        <v>0</v>
      </c>
      <c r="D33" s="302">
        <v>0</v>
      </c>
      <c r="E33" s="302">
        <v>0</v>
      </c>
      <c r="F33" s="302">
        <v>0</v>
      </c>
      <c r="G33" s="302">
        <v>10000000</v>
      </c>
      <c r="H33" s="302">
        <v>10000000</v>
      </c>
      <c r="I33" s="302">
        <v>7448000</v>
      </c>
      <c r="J33" s="302">
        <v>7448000</v>
      </c>
      <c r="K33" s="302"/>
      <c r="L33" s="302">
        <v>160000000</v>
      </c>
      <c r="M33" s="302">
        <f>160000000*70%</f>
        <v>112000000</v>
      </c>
      <c r="N33" s="302">
        <f>M33*80%</f>
        <v>89600000</v>
      </c>
      <c r="O33" s="302">
        <v>149600000</v>
      </c>
      <c r="P33" s="302">
        <v>149600000</v>
      </c>
      <c r="Q33" s="302">
        <v>250000000</v>
      </c>
      <c r="R33" s="302">
        <v>350000000</v>
      </c>
      <c r="S33" s="861">
        <v>550000000</v>
      </c>
      <c r="T33" s="402">
        <f t="shared" si="0"/>
        <v>200000000</v>
      </c>
    </row>
    <row r="34" spans="1:20" ht="23.1" customHeight="1">
      <c r="A34" s="392">
        <v>22203</v>
      </c>
      <c r="B34" s="302" t="s">
        <v>127</v>
      </c>
      <c r="C34" s="302">
        <v>0</v>
      </c>
      <c r="D34" s="302">
        <v>0</v>
      </c>
      <c r="E34" s="302">
        <v>0</v>
      </c>
      <c r="F34" s="302">
        <v>0</v>
      </c>
      <c r="G34" s="302">
        <v>0</v>
      </c>
      <c r="H34" s="302">
        <v>0</v>
      </c>
      <c r="I34" s="302">
        <v>0</v>
      </c>
      <c r="J34" s="302">
        <v>0</v>
      </c>
      <c r="K34" s="302">
        <v>14896000</v>
      </c>
      <c r="L34" s="302">
        <v>30018000</v>
      </c>
      <c r="M34" s="302">
        <f>30018000*70%</f>
        <v>21012600</v>
      </c>
      <c r="N34" s="302">
        <f>30018000*70%</f>
        <v>21012600</v>
      </c>
      <c r="O34" s="302">
        <f>30018000*70%</f>
        <v>21012600</v>
      </c>
      <c r="P34" s="302">
        <f>30018000*70%</f>
        <v>21012600</v>
      </c>
      <c r="Q34" s="302">
        <v>40000000</v>
      </c>
      <c r="R34" s="302">
        <v>40000000</v>
      </c>
      <c r="S34" s="861">
        <v>80000000</v>
      </c>
      <c r="T34" s="402">
        <f t="shared" si="0"/>
        <v>40000000</v>
      </c>
    </row>
    <row r="35" spans="1:20" ht="23.1" customHeight="1">
      <c r="A35" s="392">
        <v>22204</v>
      </c>
      <c r="B35" s="302" t="s">
        <v>128</v>
      </c>
      <c r="C35" s="302">
        <v>4320000</v>
      </c>
      <c r="D35" s="302">
        <v>3511733</v>
      </c>
      <c r="E35" s="302">
        <v>3511733</v>
      </c>
      <c r="F35" s="302">
        <v>3511733</v>
      </c>
      <c r="G35" s="302">
        <v>13500000</v>
      </c>
      <c r="H35" s="302">
        <v>13500000</v>
      </c>
      <c r="I35" s="302">
        <v>14896000</v>
      </c>
      <c r="J35" s="302">
        <v>25000000</v>
      </c>
      <c r="K35" s="302">
        <v>7448000</v>
      </c>
      <c r="L35" s="302">
        <v>63308000</v>
      </c>
      <c r="M35" s="302">
        <f t="shared" ref="M35:S35" si="8">63308000*70%</f>
        <v>44315600</v>
      </c>
      <c r="N35" s="302">
        <f t="shared" si="8"/>
        <v>44315600</v>
      </c>
      <c r="O35" s="302">
        <f t="shared" si="8"/>
        <v>44315600</v>
      </c>
      <c r="P35" s="302">
        <f t="shared" si="8"/>
        <v>44315600</v>
      </c>
      <c r="Q35" s="302">
        <f t="shared" si="8"/>
        <v>44315600</v>
      </c>
      <c r="R35" s="302">
        <f t="shared" si="8"/>
        <v>44315600</v>
      </c>
      <c r="S35" s="861">
        <f t="shared" si="8"/>
        <v>44315600</v>
      </c>
      <c r="T35" s="402">
        <f t="shared" si="0"/>
        <v>0</v>
      </c>
    </row>
    <row r="36" spans="1:20" ht="23.1" customHeight="1">
      <c r="A36" s="392"/>
      <c r="B36" s="303" t="s">
        <v>92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0">
        <f t="shared" ref="L36:P36" si="9">SUM(L32:L35)</f>
        <v>253326000</v>
      </c>
      <c r="M36" s="400">
        <f t="shared" si="9"/>
        <v>177328200</v>
      </c>
      <c r="N36" s="400">
        <f t="shared" si="9"/>
        <v>154928200</v>
      </c>
      <c r="O36" s="400">
        <f t="shared" si="9"/>
        <v>214928200</v>
      </c>
      <c r="P36" s="400">
        <f t="shared" si="9"/>
        <v>214928200</v>
      </c>
      <c r="Q36" s="400">
        <f>SUM(Q32:Q35)</f>
        <v>334315600</v>
      </c>
      <c r="R36" s="400">
        <f>SUM(R32:R35)</f>
        <v>434315600</v>
      </c>
      <c r="S36" s="864">
        <f>SUM(S32:S35)</f>
        <v>674315600</v>
      </c>
      <c r="T36" s="400">
        <f t="shared" si="0"/>
        <v>240000000</v>
      </c>
    </row>
    <row r="37" spans="1:20" ht="23.1" customHeight="1">
      <c r="A37" s="476">
        <v>2230</v>
      </c>
      <c r="B37" s="303" t="s">
        <v>130</v>
      </c>
      <c r="C37" s="401"/>
      <c r="D37" s="401"/>
      <c r="E37" s="401"/>
      <c r="F37" s="401"/>
      <c r="G37" s="401"/>
      <c r="H37" s="401"/>
      <c r="I37" s="401"/>
      <c r="J37" s="401"/>
      <c r="K37" s="401"/>
      <c r="L37" s="302"/>
      <c r="M37" s="302"/>
      <c r="N37" s="302"/>
      <c r="O37" s="302"/>
      <c r="P37" s="302"/>
      <c r="Q37" s="302"/>
      <c r="R37" s="302"/>
      <c r="S37" s="861"/>
      <c r="T37" s="402">
        <f t="shared" si="0"/>
        <v>0</v>
      </c>
    </row>
    <row r="38" spans="1:20" ht="23.1" customHeight="1">
      <c r="A38" s="392">
        <v>22301</v>
      </c>
      <c r="B38" s="302" t="s">
        <v>49</v>
      </c>
      <c r="C38" s="401"/>
      <c r="D38" s="401"/>
      <c r="E38" s="401"/>
      <c r="F38" s="401"/>
      <c r="G38" s="401"/>
      <c r="H38" s="401"/>
      <c r="I38" s="401"/>
      <c r="J38" s="401"/>
      <c r="K38" s="401"/>
      <c r="L38" s="302">
        <v>30000000</v>
      </c>
      <c r="M38" s="302">
        <f>30000000*70%</f>
        <v>21000000</v>
      </c>
      <c r="N38" s="302">
        <f>30000000*70%</f>
        <v>21000000</v>
      </c>
      <c r="O38" s="302">
        <v>41000000</v>
      </c>
      <c r="P38" s="302">
        <v>41000000</v>
      </c>
      <c r="Q38" s="302">
        <v>60000000</v>
      </c>
      <c r="R38" s="302">
        <v>60000000</v>
      </c>
      <c r="S38" s="861">
        <v>60000000</v>
      </c>
      <c r="T38" s="402">
        <f t="shared" si="0"/>
        <v>0</v>
      </c>
    </row>
    <row r="39" spans="1:20" ht="23.1" customHeight="1">
      <c r="A39" s="392">
        <v>22302</v>
      </c>
      <c r="B39" s="302" t="s">
        <v>249</v>
      </c>
      <c r="C39" s="401"/>
      <c r="D39" s="401"/>
      <c r="E39" s="401"/>
      <c r="F39" s="401"/>
      <c r="G39" s="401"/>
      <c r="H39" s="401"/>
      <c r="I39" s="401"/>
      <c r="J39" s="401"/>
      <c r="K39" s="401"/>
      <c r="L39" s="302">
        <v>7448000</v>
      </c>
      <c r="M39" s="302">
        <f>100000000*70%</f>
        <v>70000000</v>
      </c>
      <c r="N39" s="302">
        <f>100000000*70%</f>
        <v>70000000</v>
      </c>
      <c r="O39" s="302">
        <v>50000000</v>
      </c>
      <c r="P39" s="302">
        <v>50000000</v>
      </c>
      <c r="Q39" s="302">
        <v>50000000</v>
      </c>
      <c r="R39" s="302">
        <v>50000000</v>
      </c>
      <c r="S39" s="861">
        <v>50000000</v>
      </c>
      <c r="T39" s="402">
        <f t="shared" si="0"/>
        <v>0</v>
      </c>
    </row>
    <row r="40" spans="1:20" ht="23.1" customHeight="1">
      <c r="A40" s="392">
        <v>22313</v>
      </c>
      <c r="B40" s="302" t="s">
        <v>251</v>
      </c>
      <c r="C40" s="401"/>
      <c r="D40" s="401"/>
      <c r="E40" s="401"/>
      <c r="F40" s="401"/>
      <c r="G40" s="401"/>
      <c r="H40" s="401"/>
      <c r="I40" s="401"/>
      <c r="J40" s="401"/>
      <c r="K40" s="401"/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861">
        <v>0</v>
      </c>
      <c r="T40" s="402">
        <f t="shared" si="0"/>
        <v>0</v>
      </c>
    </row>
    <row r="41" spans="1:20" ht="23.1" customHeight="1">
      <c r="A41" s="392"/>
      <c r="B41" s="303" t="s">
        <v>92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0">
        <f t="shared" ref="L41:P41" si="10">SUM(L38:L40)</f>
        <v>37448000</v>
      </c>
      <c r="M41" s="400">
        <f t="shared" si="10"/>
        <v>91000000</v>
      </c>
      <c r="N41" s="400">
        <f t="shared" si="10"/>
        <v>91000000</v>
      </c>
      <c r="O41" s="400">
        <f t="shared" si="10"/>
        <v>91000000</v>
      </c>
      <c r="P41" s="400">
        <f t="shared" si="10"/>
        <v>91000000</v>
      </c>
      <c r="Q41" s="400">
        <f>SUM(Q38:Q40)</f>
        <v>110000000</v>
      </c>
      <c r="R41" s="400">
        <f>SUM(R38:R40)</f>
        <v>110000000</v>
      </c>
      <c r="S41" s="864">
        <f>SUM(S38:S40)</f>
        <v>110000000</v>
      </c>
      <c r="T41" s="400">
        <f t="shared" si="0"/>
        <v>0</v>
      </c>
    </row>
    <row r="42" spans="1:20" ht="23.1" customHeight="1">
      <c r="A42" s="476">
        <v>270</v>
      </c>
      <c r="B42" s="303" t="s">
        <v>253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865"/>
      <c r="T42" s="402">
        <f t="shared" si="0"/>
        <v>0</v>
      </c>
    </row>
    <row r="43" spans="1:20" ht="23.1" customHeight="1">
      <c r="A43" s="476">
        <v>2710</v>
      </c>
      <c r="B43" s="303" t="s">
        <v>252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865"/>
      <c r="T43" s="402">
        <f t="shared" si="0"/>
        <v>0</v>
      </c>
    </row>
    <row r="44" spans="1:20" ht="23.1" customHeight="1">
      <c r="A44" s="392">
        <v>27601</v>
      </c>
      <c r="B44" s="302" t="s">
        <v>264</v>
      </c>
      <c r="C44" s="401"/>
      <c r="D44" s="401"/>
      <c r="E44" s="401"/>
      <c r="F44" s="401"/>
      <c r="G44" s="401"/>
      <c r="H44" s="401"/>
      <c r="I44" s="401"/>
      <c r="J44" s="401"/>
      <c r="K44" s="401"/>
      <c r="L44" s="402">
        <f t="shared" ref="L44:S48" si="11">K44-J44</f>
        <v>0</v>
      </c>
      <c r="M44" s="402">
        <f>60000000*70%</f>
        <v>42000000</v>
      </c>
      <c r="N44" s="402">
        <v>0</v>
      </c>
      <c r="O44" s="402">
        <v>0</v>
      </c>
      <c r="P44" s="402">
        <v>0</v>
      </c>
      <c r="Q44" s="402">
        <v>150000000</v>
      </c>
      <c r="R44" s="402">
        <v>50000000</v>
      </c>
      <c r="S44" s="866">
        <v>100000000</v>
      </c>
      <c r="T44" s="402">
        <f t="shared" si="0"/>
        <v>50000000</v>
      </c>
    </row>
    <row r="45" spans="1:20" ht="23.1" customHeight="1">
      <c r="A45" s="392">
        <v>27402</v>
      </c>
      <c r="B45" s="302" t="s">
        <v>1333</v>
      </c>
      <c r="C45" s="401"/>
      <c r="D45" s="401"/>
      <c r="E45" s="401"/>
      <c r="F45" s="401"/>
      <c r="G45" s="401"/>
      <c r="H45" s="401"/>
      <c r="I45" s="401"/>
      <c r="J45" s="401"/>
      <c r="K45" s="401"/>
      <c r="L45" s="402">
        <f t="shared" si="11"/>
        <v>0</v>
      </c>
      <c r="M45" s="402">
        <v>42000000</v>
      </c>
      <c r="N45" s="402">
        <v>0</v>
      </c>
      <c r="O45" s="402">
        <v>240000000</v>
      </c>
      <c r="P45" s="402">
        <v>300000000</v>
      </c>
      <c r="Q45" s="402">
        <v>300000000</v>
      </c>
      <c r="R45" s="402">
        <v>650000000</v>
      </c>
      <c r="S45" s="866">
        <v>150000000</v>
      </c>
      <c r="T45" s="402">
        <f t="shared" si="0"/>
        <v>-500000000</v>
      </c>
    </row>
    <row r="46" spans="1:20" ht="23.1" customHeight="1">
      <c r="A46" s="392">
        <v>27502</v>
      </c>
      <c r="B46" s="302" t="s">
        <v>148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2">
        <f t="shared" si="11"/>
        <v>0</v>
      </c>
      <c r="M46" s="402">
        <f t="shared" si="11"/>
        <v>0</v>
      </c>
      <c r="N46" s="402">
        <f t="shared" si="11"/>
        <v>0</v>
      </c>
      <c r="O46" s="402">
        <f t="shared" si="11"/>
        <v>0</v>
      </c>
      <c r="P46" s="402">
        <f t="shared" si="11"/>
        <v>0</v>
      </c>
      <c r="Q46" s="402">
        <f t="shared" si="11"/>
        <v>0</v>
      </c>
      <c r="R46" s="402">
        <f t="shared" si="11"/>
        <v>0</v>
      </c>
      <c r="S46" s="866">
        <f t="shared" si="11"/>
        <v>0</v>
      </c>
      <c r="T46" s="402">
        <f t="shared" si="0"/>
        <v>0</v>
      </c>
    </row>
    <row r="47" spans="1:20" ht="23.1" customHeight="1">
      <c r="A47" s="392">
        <v>27604</v>
      </c>
      <c r="B47" s="302" t="s">
        <v>149</v>
      </c>
      <c r="C47" s="401"/>
      <c r="D47" s="401"/>
      <c r="E47" s="401"/>
      <c r="F47" s="401"/>
      <c r="G47" s="401"/>
      <c r="H47" s="401"/>
      <c r="I47" s="401"/>
      <c r="J47" s="401"/>
      <c r="K47" s="401"/>
      <c r="L47" s="402">
        <f t="shared" si="11"/>
        <v>0</v>
      </c>
      <c r="M47" s="402">
        <f t="shared" si="11"/>
        <v>0</v>
      </c>
      <c r="N47" s="402">
        <f t="shared" si="11"/>
        <v>0</v>
      </c>
      <c r="O47" s="402">
        <f t="shared" si="11"/>
        <v>0</v>
      </c>
      <c r="P47" s="402">
        <f t="shared" si="11"/>
        <v>0</v>
      </c>
      <c r="Q47" s="402">
        <f t="shared" si="11"/>
        <v>0</v>
      </c>
      <c r="R47" s="402">
        <f t="shared" si="11"/>
        <v>0</v>
      </c>
      <c r="S47" s="866">
        <f t="shared" si="11"/>
        <v>0</v>
      </c>
      <c r="T47" s="402">
        <f t="shared" si="0"/>
        <v>0</v>
      </c>
    </row>
    <row r="48" spans="1:20" ht="23.1" customHeight="1">
      <c r="A48" s="392"/>
      <c r="B48" s="303" t="s">
        <v>92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2">
        <f t="shared" si="11"/>
        <v>0</v>
      </c>
      <c r="M48" s="400">
        <f t="shared" ref="M48:P48" si="12">SUM(M44:M47)</f>
        <v>84000000</v>
      </c>
      <c r="N48" s="402">
        <f t="shared" si="12"/>
        <v>0</v>
      </c>
      <c r="O48" s="400">
        <f t="shared" si="12"/>
        <v>240000000</v>
      </c>
      <c r="P48" s="400">
        <f t="shared" si="12"/>
        <v>300000000</v>
      </c>
      <c r="Q48" s="400">
        <f>SUM(Q44:Q47)</f>
        <v>450000000</v>
      </c>
      <c r="R48" s="400">
        <f>SUM(R44:R47)</f>
        <v>700000000</v>
      </c>
      <c r="S48" s="864">
        <f>SUM(S44:S47)</f>
        <v>250000000</v>
      </c>
      <c r="T48" s="400">
        <f t="shared" si="0"/>
        <v>-450000000</v>
      </c>
    </row>
    <row r="49" spans="1:20" ht="23.1" customHeight="1">
      <c r="A49" s="476">
        <v>2720</v>
      </c>
      <c r="B49" s="303" t="s">
        <v>1096</v>
      </c>
      <c r="C49" s="401"/>
      <c r="D49" s="401"/>
      <c r="E49" s="401"/>
      <c r="F49" s="401"/>
      <c r="G49" s="401"/>
      <c r="H49" s="401"/>
      <c r="I49" s="401"/>
      <c r="J49" s="401"/>
      <c r="K49" s="401"/>
      <c r="L49" s="402"/>
      <c r="M49" s="400"/>
      <c r="N49" s="402"/>
      <c r="O49" s="400"/>
      <c r="P49" s="400"/>
      <c r="Q49" s="400"/>
      <c r="R49" s="400"/>
      <c r="S49" s="864"/>
      <c r="T49" s="402">
        <f t="shared" si="0"/>
        <v>0</v>
      </c>
    </row>
    <row r="50" spans="1:20" ht="23.1" customHeight="1">
      <c r="A50" s="392">
        <v>27202</v>
      </c>
      <c r="B50" s="302" t="s">
        <v>1332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2"/>
      <c r="M50" s="400"/>
      <c r="N50" s="402"/>
      <c r="O50" s="400"/>
      <c r="P50" s="400">
        <v>0</v>
      </c>
      <c r="Q50" s="402">
        <v>522000000</v>
      </c>
      <c r="R50" s="402">
        <v>0</v>
      </c>
      <c r="S50" s="866">
        <v>600000000</v>
      </c>
      <c r="T50" s="402">
        <f t="shared" si="0"/>
        <v>600000000</v>
      </c>
    </row>
    <row r="51" spans="1:20" ht="23.1" customHeight="1">
      <c r="A51" s="392"/>
      <c r="B51" s="303" t="s">
        <v>92</v>
      </c>
      <c r="C51" s="401"/>
      <c r="D51" s="401"/>
      <c r="E51" s="401"/>
      <c r="F51" s="401"/>
      <c r="G51" s="401"/>
      <c r="H51" s="401"/>
      <c r="I51" s="401"/>
      <c r="J51" s="401"/>
      <c r="K51" s="401"/>
      <c r="L51" s="402"/>
      <c r="M51" s="400"/>
      <c r="N51" s="402"/>
      <c r="O51" s="400"/>
      <c r="P51" s="400"/>
      <c r="Q51" s="400">
        <f>SUM(Q50)</f>
        <v>522000000</v>
      </c>
      <c r="R51" s="400">
        <f>SUM(R50)</f>
        <v>0</v>
      </c>
      <c r="S51" s="864">
        <f>SUM(S50)</f>
        <v>600000000</v>
      </c>
      <c r="T51" s="400">
        <f t="shared" si="0"/>
        <v>600000000</v>
      </c>
    </row>
    <row r="52" spans="1:20" ht="23.1" customHeight="1">
      <c r="A52" s="392"/>
      <c r="B52" s="303" t="s">
        <v>37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0">
        <f>L48+L41+L36+L30+L10</f>
        <v>4597004640</v>
      </c>
      <c r="M52" s="400">
        <f>M48+M41+M36+M30+M10</f>
        <v>6734909088</v>
      </c>
      <c r="N52" s="400">
        <f>N48+N41+N36+N30+N10</f>
        <v>10053034508</v>
      </c>
      <c r="O52" s="400">
        <f>O48+O41+O36+O30+O10</f>
        <v>11346591288</v>
      </c>
      <c r="P52" s="400">
        <f>P48+P41+P36+P30+P10</f>
        <v>13977637688</v>
      </c>
      <c r="Q52" s="400">
        <f>Q51+Q48+Q41+Q36+Q30+Q10</f>
        <v>16210847488</v>
      </c>
      <c r="R52" s="400">
        <f>R51+R48+R41+R36+R30+R10</f>
        <v>19142636928</v>
      </c>
      <c r="S52" s="864">
        <f>S51+S48+S41+S36+S30+S10</f>
        <v>30207733280</v>
      </c>
      <c r="T52" s="400">
        <f t="shared" si="0"/>
        <v>11065096352</v>
      </c>
    </row>
  </sheetData>
  <phoneticPr fontId="0" type="noConversion"/>
  <printOptions gridLines="1"/>
  <pageMargins left="0.67" right="0.25" top="0.89" bottom="0.71" header="0.3" footer="0.42"/>
  <pageSetup scale="54" orientation="portrait" r:id="rId1"/>
  <headerFooter alignWithMargins="0">
    <oddHeader>&amp;C&amp;"Algerian,Bold"&amp;36WASAARADdA ARIMAHA DIBADA</oddHeader>
    <oddFooter>&amp;R&amp;"Times New Roman,Bold"&amp;14 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49"/>
  <sheetViews>
    <sheetView view="pageBreakPreview" topLeftCell="A28" zoomScale="60" workbookViewId="0">
      <selection activeCell="S48" sqref="S48"/>
    </sheetView>
  </sheetViews>
  <sheetFormatPr defaultRowHeight="24" customHeight="1"/>
  <cols>
    <col min="1" max="1" width="21" style="584" bestFit="1" customWidth="1"/>
    <col min="2" max="2" width="79.1640625" style="528" customWidth="1"/>
    <col min="3" max="3" width="16.5" style="528" hidden="1" customWidth="1"/>
    <col min="4" max="4" width="16.33203125" style="528" hidden="1" customWidth="1"/>
    <col min="5" max="5" width="18" style="528" hidden="1" customWidth="1"/>
    <col min="6" max="6" width="16.33203125" style="528" hidden="1" customWidth="1"/>
    <col min="7" max="7" width="0.1640625" style="528" hidden="1" customWidth="1"/>
    <col min="8" max="8" width="16.33203125" style="528" hidden="1" customWidth="1"/>
    <col min="9" max="9" width="0.1640625" style="528" hidden="1" customWidth="1"/>
    <col min="10" max="10" width="19.83203125" style="528" hidden="1" customWidth="1"/>
    <col min="11" max="11" width="20.33203125" style="528" hidden="1" customWidth="1"/>
    <col min="12" max="12" width="21.6640625" style="528" hidden="1" customWidth="1"/>
    <col min="13" max="13" width="27.33203125" style="528" hidden="1" customWidth="1"/>
    <col min="14" max="14" width="31" style="528" hidden="1" customWidth="1"/>
    <col min="15" max="15" width="27.6640625" style="528" hidden="1" customWidth="1"/>
    <col min="16" max="17" width="31" style="498" hidden="1" customWidth="1"/>
    <col min="18" max="19" width="31" style="498" customWidth="1"/>
    <col min="20" max="20" width="27.6640625" style="528" bestFit="1" customWidth="1"/>
    <col min="21" max="16384" width="9.33203125" style="528"/>
  </cols>
  <sheetData>
    <row r="1" spans="1:20" ht="24" customHeight="1">
      <c r="A1" s="544" t="s">
        <v>40</v>
      </c>
      <c r="B1" s="545" t="s">
        <v>993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280"/>
      <c r="Q1" s="280"/>
      <c r="R1" s="280"/>
      <c r="S1" s="280"/>
      <c r="T1" s="527"/>
    </row>
    <row r="2" spans="1:20" s="595" customFormat="1" ht="24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101</v>
      </c>
      <c r="J2" s="482" t="s">
        <v>107</v>
      </c>
      <c r="K2" s="482" t="s">
        <v>118</v>
      </c>
      <c r="L2" s="482" t="s">
        <v>151</v>
      </c>
      <c r="M2" s="482" t="s">
        <v>294</v>
      </c>
      <c r="N2" s="482" t="s">
        <v>440</v>
      </c>
      <c r="O2" s="482" t="s">
        <v>806</v>
      </c>
      <c r="P2" s="482" t="s">
        <v>872</v>
      </c>
      <c r="Q2" s="482" t="s">
        <v>972</v>
      </c>
      <c r="R2" s="482" t="s">
        <v>1159</v>
      </c>
      <c r="S2" s="482" t="s">
        <v>1319</v>
      </c>
      <c r="T2" s="286" t="s">
        <v>56</v>
      </c>
    </row>
    <row r="3" spans="1:20" ht="24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527"/>
    </row>
    <row r="4" spans="1:20" ht="24" customHeight="1">
      <c r="A4" s="392">
        <v>21101</v>
      </c>
      <c r="B4" s="246" t="s">
        <v>28</v>
      </c>
      <c r="C4" s="246">
        <v>52881000</v>
      </c>
      <c r="D4" s="246">
        <v>78528000</v>
      </c>
      <c r="E4" s="246">
        <v>97212000</v>
      </c>
      <c r="F4" s="246">
        <v>76320000</v>
      </c>
      <c r="G4" s="246">
        <f>85872000-3192000</f>
        <v>82680000</v>
      </c>
      <c r="H4" s="246">
        <v>87312000</v>
      </c>
      <c r="I4" s="246">
        <f>113505600+4149600</f>
        <v>117655200</v>
      </c>
      <c r="J4" s="246">
        <f>119527200+4149600+54000000+6000000</f>
        <v>183676800</v>
      </c>
      <c r="K4" s="246">
        <f>183676800+12000000+27690000-4149600+4149600+4134000+4149600</f>
        <v>231650400</v>
      </c>
      <c r="L4" s="246">
        <v>231650400</v>
      </c>
      <c r="M4" s="246">
        <f>shaqaalaha2011!H14+36000000</f>
        <v>336955200</v>
      </c>
      <c r="N4" s="246">
        <v>330865600</v>
      </c>
      <c r="O4" s="246">
        <v>484567200</v>
      </c>
      <c r="P4" s="246">
        <v>850037760</v>
      </c>
      <c r="Q4" s="246">
        <v>990025920</v>
      </c>
      <c r="R4" s="246">
        <v>1024320960</v>
      </c>
      <c r="S4" s="246">
        <v>1361048832</v>
      </c>
      <c r="T4" s="274">
        <f>S4-R4</f>
        <v>336727872</v>
      </c>
    </row>
    <row r="5" spans="1:20" ht="24" customHeight="1">
      <c r="A5" s="392">
        <v>21101</v>
      </c>
      <c r="B5" s="246" t="s">
        <v>1370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>
        <v>0</v>
      </c>
      <c r="S5" s="246">
        <v>79361568</v>
      </c>
      <c r="T5" s="274">
        <f>S5-R5</f>
        <v>79361568</v>
      </c>
    </row>
    <row r="6" spans="1:20" ht="24" customHeight="1">
      <c r="A6" s="392">
        <v>21102</v>
      </c>
      <c r="B6" s="246" t="s">
        <v>553</v>
      </c>
      <c r="C6" s="246">
        <v>980000</v>
      </c>
      <c r="D6" s="246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97200000</v>
      </c>
      <c r="O6" s="246">
        <v>97200000</v>
      </c>
      <c r="P6" s="246">
        <v>194400000</v>
      </c>
      <c r="Q6" s="246">
        <v>470400000</v>
      </c>
      <c r="R6" s="246">
        <v>470400000</v>
      </c>
      <c r="S6" s="246">
        <v>567600000</v>
      </c>
      <c r="T6" s="274">
        <f t="shared" ref="T6:T48" si="0">S6-R6</f>
        <v>97200000</v>
      </c>
    </row>
    <row r="7" spans="1:20" ht="24" customHeight="1">
      <c r="A7" s="392">
        <v>21103</v>
      </c>
      <c r="B7" s="246" t="s">
        <v>808</v>
      </c>
      <c r="C7" s="246">
        <v>10800000</v>
      </c>
      <c r="D7" s="246">
        <v>13944000</v>
      </c>
      <c r="E7" s="246">
        <v>17688000</v>
      </c>
      <c r="F7" s="246">
        <v>17688000</v>
      </c>
      <c r="G7" s="246">
        <v>21288000</v>
      </c>
      <c r="H7" s="246">
        <f>G7</f>
        <v>21288000</v>
      </c>
      <c r="I7" s="246">
        <v>21288000</v>
      </c>
      <c r="J7" s="246">
        <f>21288000+32400000+1440000</f>
        <v>55128000</v>
      </c>
      <c r="K7" s="246">
        <f>55128000+1440000+7920000</f>
        <v>64488000</v>
      </c>
      <c r="L7" s="246">
        <f>64488000+3600000</f>
        <v>68088000</v>
      </c>
      <c r="M7" s="246">
        <f>45888000+600000</f>
        <v>46488000</v>
      </c>
      <c r="N7" s="246">
        <v>86088000</v>
      </c>
      <c r="O7" s="246">
        <v>162000000</v>
      </c>
      <c r="P7" s="246">
        <v>306000000</v>
      </c>
      <c r="Q7" s="246">
        <v>488400000</v>
      </c>
      <c r="R7" s="246">
        <v>488400000</v>
      </c>
      <c r="S7" s="246">
        <v>560400000</v>
      </c>
      <c r="T7" s="274">
        <f t="shared" si="0"/>
        <v>72000000</v>
      </c>
    </row>
    <row r="8" spans="1:20" ht="24" customHeight="1">
      <c r="A8" s="392">
        <v>21104</v>
      </c>
      <c r="B8" s="246" t="s">
        <v>140</v>
      </c>
      <c r="C8" s="246"/>
      <c r="D8" s="246"/>
      <c r="E8" s="246"/>
      <c r="F8" s="246"/>
      <c r="G8" s="246"/>
      <c r="H8" s="246"/>
      <c r="I8" s="246"/>
      <c r="J8" s="246">
        <v>0</v>
      </c>
      <c r="K8" s="246">
        <v>0</v>
      </c>
      <c r="L8" s="246"/>
      <c r="M8" s="246"/>
      <c r="N8" s="246"/>
      <c r="O8" s="246"/>
      <c r="P8" s="246"/>
      <c r="Q8" s="246"/>
      <c r="R8" s="246"/>
      <c r="S8" s="246"/>
      <c r="T8" s="274">
        <f t="shared" si="0"/>
        <v>0</v>
      </c>
    </row>
    <row r="9" spans="1:20" s="506" customFormat="1" ht="24" customHeight="1">
      <c r="A9" s="392">
        <v>21105</v>
      </c>
      <c r="B9" s="246" t="s">
        <v>526</v>
      </c>
      <c r="C9" s="280">
        <f t="shared" ref="C9:J9" si="1">SUM(C4:C8)</f>
        <v>64661000</v>
      </c>
      <c r="D9" s="280">
        <f t="shared" si="1"/>
        <v>92472000</v>
      </c>
      <c r="E9" s="280">
        <f t="shared" si="1"/>
        <v>114900000</v>
      </c>
      <c r="F9" s="280">
        <f t="shared" si="1"/>
        <v>94008000</v>
      </c>
      <c r="G9" s="280">
        <f t="shared" si="1"/>
        <v>103968000</v>
      </c>
      <c r="H9" s="280">
        <f t="shared" si="1"/>
        <v>108600000</v>
      </c>
      <c r="I9" s="280">
        <f t="shared" si="1"/>
        <v>138943200</v>
      </c>
      <c r="J9" s="280">
        <f t="shared" si="1"/>
        <v>238804800</v>
      </c>
      <c r="K9" s="246">
        <v>3600000</v>
      </c>
      <c r="L9" s="246">
        <v>3600000</v>
      </c>
      <c r="M9" s="246">
        <v>33600000</v>
      </c>
      <c r="N9" s="246">
        <f>M9</f>
        <v>33600000</v>
      </c>
      <c r="O9" s="246">
        <v>40488000</v>
      </c>
      <c r="P9" s="246">
        <v>1089288000</v>
      </c>
      <c r="Q9" s="246">
        <v>1186488000</v>
      </c>
      <c r="R9" s="282">
        <v>1244088000</v>
      </c>
      <c r="S9" s="282">
        <v>1616088000</v>
      </c>
      <c r="T9" s="274">
        <f t="shared" si="0"/>
        <v>372000000</v>
      </c>
    </row>
    <row r="10" spans="1:20" ht="24" customHeight="1">
      <c r="A10" s="476">
        <v>2120</v>
      </c>
      <c r="B10" s="280" t="s">
        <v>218</v>
      </c>
      <c r="C10" s="246"/>
      <c r="D10" s="246"/>
      <c r="E10" s="246"/>
      <c r="F10" s="246"/>
      <c r="G10" s="246"/>
      <c r="H10" s="246"/>
      <c r="I10" s="246"/>
      <c r="J10" s="246"/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74">
        <f t="shared" si="0"/>
        <v>0</v>
      </c>
    </row>
    <row r="11" spans="1:20" ht="24" customHeight="1">
      <c r="A11" s="392">
        <v>21201</v>
      </c>
      <c r="B11" s="246" t="s">
        <v>222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80">
        <f>SUM(K4:K10)</f>
        <v>299738400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74">
        <f t="shared" si="0"/>
        <v>0</v>
      </c>
    </row>
    <row r="12" spans="1:20" ht="24" customHeight="1">
      <c r="A12" s="392">
        <v>21202</v>
      </c>
      <c r="B12" s="246" t="s">
        <v>205</v>
      </c>
      <c r="C12" s="246">
        <v>17681000</v>
      </c>
      <c r="D12" s="246">
        <v>34100000</v>
      </c>
      <c r="E12" s="246">
        <v>34100000</v>
      </c>
      <c r="F12" s="246">
        <v>34100000</v>
      </c>
      <c r="G12" s="246">
        <v>42336000</v>
      </c>
      <c r="H12" s="246">
        <v>100000000</v>
      </c>
      <c r="I12" s="246">
        <v>100000000</v>
      </c>
      <c r="J12" s="246">
        <v>150000000</v>
      </c>
      <c r="K12" s="246"/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74">
        <f t="shared" si="0"/>
        <v>0</v>
      </c>
    </row>
    <row r="13" spans="1:20" ht="24" customHeight="1">
      <c r="A13" s="392">
        <v>21203</v>
      </c>
      <c r="B13" s="246" t="s">
        <v>223</v>
      </c>
      <c r="C13" s="246">
        <v>11700000</v>
      </c>
      <c r="D13" s="246">
        <v>15000000</v>
      </c>
      <c r="E13" s="246">
        <v>15000000</v>
      </c>
      <c r="F13" s="246">
        <v>15000000</v>
      </c>
      <c r="G13" s="246">
        <v>14400000</v>
      </c>
      <c r="H13" s="246">
        <v>20000000</v>
      </c>
      <c r="I13" s="246">
        <v>19364800</v>
      </c>
      <c r="J13" s="246">
        <v>19364800</v>
      </c>
      <c r="K13" s="246">
        <v>5958400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74">
        <f t="shared" si="0"/>
        <v>0</v>
      </c>
    </row>
    <row r="14" spans="1:20" ht="24" customHeight="1">
      <c r="A14" s="392"/>
      <c r="B14" s="280" t="s">
        <v>92</v>
      </c>
      <c r="C14" s="246">
        <v>5000000</v>
      </c>
      <c r="D14" s="246">
        <v>2000000</v>
      </c>
      <c r="E14" s="246">
        <v>2000000</v>
      </c>
      <c r="F14" s="246">
        <v>6000000</v>
      </c>
      <c r="G14" s="246">
        <v>4800000</v>
      </c>
      <c r="H14" s="246">
        <v>6000000</v>
      </c>
      <c r="I14" s="246">
        <v>4468800</v>
      </c>
      <c r="J14" s="246">
        <v>4468800</v>
      </c>
      <c r="K14" s="246">
        <v>26068000</v>
      </c>
      <c r="L14" s="280">
        <f t="shared" ref="L14:P14" si="2">SUM(L4:L13)</f>
        <v>303338400</v>
      </c>
      <c r="M14" s="280">
        <f t="shared" si="2"/>
        <v>417043200</v>
      </c>
      <c r="N14" s="280">
        <f t="shared" si="2"/>
        <v>547753600</v>
      </c>
      <c r="O14" s="280">
        <f t="shared" si="2"/>
        <v>784255200</v>
      </c>
      <c r="P14" s="280">
        <f t="shared" si="2"/>
        <v>2439725760</v>
      </c>
      <c r="Q14" s="280">
        <f>SUM(Q4:Q13)</f>
        <v>3135313920</v>
      </c>
      <c r="R14" s="280">
        <f>SUM(R4:R13)</f>
        <v>3227208960</v>
      </c>
      <c r="S14" s="280">
        <f>SUM(S4:S13)</f>
        <v>4184498400</v>
      </c>
      <c r="T14" s="279">
        <f t="shared" si="0"/>
        <v>957289440</v>
      </c>
    </row>
    <row r="15" spans="1:20" ht="24" customHeight="1">
      <c r="A15" s="476">
        <v>220</v>
      </c>
      <c r="B15" s="280" t="s">
        <v>225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8937600</v>
      </c>
      <c r="L15" s="246"/>
      <c r="M15" s="246"/>
      <c r="N15" s="246"/>
      <c r="O15" s="246"/>
      <c r="P15" s="246"/>
      <c r="Q15" s="246"/>
      <c r="R15" s="246"/>
      <c r="S15" s="246"/>
      <c r="T15" s="274">
        <f t="shared" si="0"/>
        <v>0</v>
      </c>
    </row>
    <row r="16" spans="1:20" s="506" customFormat="1" ht="24" customHeight="1">
      <c r="A16" s="476">
        <v>2210</v>
      </c>
      <c r="B16" s="280" t="s">
        <v>226</v>
      </c>
      <c r="C16" s="280">
        <f t="shared" ref="C16:H16" si="3">SUM(C11:C15)</f>
        <v>34381000</v>
      </c>
      <c r="D16" s="280">
        <f t="shared" si="3"/>
        <v>51100000</v>
      </c>
      <c r="E16" s="280">
        <f t="shared" si="3"/>
        <v>51100000</v>
      </c>
      <c r="F16" s="280">
        <f t="shared" si="3"/>
        <v>55100000</v>
      </c>
      <c r="G16" s="280">
        <f t="shared" si="3"/>
        <v>61536000</v>
      </c>
      <c r="H16" s="280">
        <f t="shared" si="3"/>
        <v>126000000</v>
      </c>
      <c r="I16" s="280">
        <f>SUM(I11:I15)</f>
        <v>123833600</v>
      </c>
      <c r="J16" s="280">
        <f>SUM(J11:J15)</f>
        <v>173833600</v>
      </c>
      <c r="K16" s="246">
        <v>7448000</v>
      </c>
      <c r="L16" s="246"/>
      <c r="M16" s="246"/>
      <c r="N16" s="246"/>
      <c r="O16" s="246"/>
      <c r="P16" s="246"/>
      <c r="Q16" s="246"/>
      <c r="R16" s="246"/>
      <c r="S16" s="246"/>
      <c r="T16" s="274">
        <f t="shared" si="0"/>
        <v>0</v>
      </c>
    </row>
    <row r="17" spans="1:20" ht="24" customHeight="1">
      <c r="A17" s="392">
        <v>22101</v>
      </c>
      <c r="B17" s="246" t="s">
        <v>33</v>
      </c>
      <c r="C17" s="246"/>
      <c r="D17" s="246"/>
      <c r="E17" s="246"/>
      <c r="F17" s="246"/>
      <c r="G17" s="246"/>
      <c r="H17" s="246"/>
      <c r="I17" s="246"/>
      <c r="J17" s="246"/>
      <c r="K17" s="246">
        <v>0</v>
      </c>
      <c r="L17" s="246">
        <v>6000000</v>
      </c>
      <c r="M17" s="246">
        <f>6000000*70%</f>
        <v>4200000</v>
      </c>
      <c r="N17" s="246">
        <f>6000000*70%</f>
        <v>4200000</v>
      </c>
      <c r="O17" s="246">
        <v>30000000</v>
      </c>
      <c r="P17" s="246">
        <v>30000000</v>
      </c>
      <c r="Q17" s="246">
        <v>30000000</v>
      </c>
      <c r="R17" s="246">
        <v>60000000</v>
      </c>
      <c r="S17" s="840">
        <v>80000000</v>
      </c>
      <c r="T17" s="274">
        <f t="shared" si="0"/>
        <v>20000000</v>
      </c>
    </row>
    <row r="18" spans="1:20" ht="24" customHeight="1">
      <c r="A18" s="392">
        <v>22104</v>
      </c>
      <c r="B18" s="246" t="s">
        <v>157</v>
      </c>
      <c r="C18" s="246"/>
      <c r="D18" s="246"/>
      <c r="E18" s="246"/>
      <c r="F18" s="246"/>
      <c r="G18" s="246"/>
      <c r="H18" s="246"/>
      <c r="I18" s="246"/>
      <c r="J18" s="246"/>
      <c r="K18" s="246">
        <v>604024800</v>
      </c>
      <c r="L18" s="246">
        <v>40000000</v>
      </c>
      <c r="M18" s="246">
        <f>40000000*70%</f>
        <v>28000000</v>
      </c>
      <c r="N18" s="246">
        <f>40000000*70%</f>
        <v>28000000</v>
      </c>
      <c r="O18" s="246">
        <f>40000000*70%</f>
        <v>28000000</v>
      </c>
      <c r="P18" s="246">
        <v>48000000</v>
      </c>
      <c r="Q18" s="246">
        <v>48000000</v>
      </c>
      <c r="R18" s="246">
        <v>48000000</v>
      </c>
      <c r="S18" s="840">
        <v>77000000</v>
      </c>
      <c r="T18" s="274">
        <f t="shared" si="0"/>
        <v>29000000</v>
      </c>
    </row>
    <row r="19" spans="1:20" ht="24" customHeight="1">
      <c r="A19" s="392">
        <v>22105</v>
      </c>
      <c r="B19" s="246" t="s">
        <v>135</v>
      </c>
      <c r="C19" s="246">
        <v>3000000</v>
      </c>
      <c r="D19" s="246">
        <v>2000000</v>
      </c>
      <c r="E19" s="246">
        <v>2000000</v>
      </c>
      <c r="F19" s="246">
        <v>2000000</v>
      </c>
      <c r="G19" s="246">
        <v>3200000</v>
      </c>
      <c r="H19" s="246">
        <v>4000000</v>
      </c>
      <c r="I19" s="246">
        <v>2979200</v>
      </c>
      <c r="J19" s="246">
        <v>2979200</v>
      </c>
      <c r="K19" s="246">
        <v>11172000</v>
      </c>
      <c r="L19" s="246">
        <v>8937600</v>
      </c>
      <c r="M19" s="246">
        <f>8937600*70%</f>
        <v>6256320</v>
      </c>
      <c r="N19" s="246">
        <v>144000000</v>
      </c>
      <c r="O19" s="246">
        <v>0</v>
      </c>
      <c r="P19" s="246">
        <v>0</v>
      </c>
      <c r="Q19" s="246">
        <v>0</v>
      </c>
      <c r="R19" s="246">
        <v>0</v>
      </c>
      <c r="S19" s="840">
        <v>0</v>
      </c>
      <c r="T19" s="274">
        <f t="shared" si="0"/>
        <v>0</v>
      </c>
    </row>
    <row r="20" spans="1:20" ht="24" customHeight="1">
      <c r="A20" s="392">
        <v>22106</v>
      </c>
      <c r="B20" s="246" t="s">
        <v>126</v>
      </c>
      <c r="C20" s="246">
        <v>5000000</v>
      </c>
      <c r="D20" s="246">
        <v>1500000</v>
      </c>
      <c r="E20" s="246">
        <v>1500000</v>
      </c>
      <c r="F20" s="246">
        <v>1500000</v>
      </c>
      <c r="G20" s="246">
        <v>1600000</v>
      </c>
      <c r="H20" s="246">
        <v>2000000</v>
      </c>
      <c r="I20" s="246">
        <v>1489600</v>
      </c>
      <c r="J20" s="246">
        <v>1489600</v>
      </c>
      <c r="K20" s="246">
        <v>0</v>
      </c>
      <c r="L20" s="246">
        <v>9000000</v>
      </c>
      <c r="M20" s="246">
        <f>9000000*70%</f>
        <v>6300000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840">
        <v>0</v>
      </c>
      <c r="T20" s="274">
        <f t="shared" si="0"/>
        <v>0</v>
      </c>
    </row>
    <row r="21" spans="1:20" ht="24" customHeight="1">
      <c r="A21" s="392">
        <v>22107</v>
      </c>
      <c r="B21" s="246" t="s">
        <v>921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>
        <v>50000000</v>
      </c>
      <c r="Q21" s="246">
        <v>50400000</v>
      </c>
      <c r="R21" s="246">
        <v>50400000</v>
      </c>
      <c r="S21" s="840">
        <v>80400000</v>
      </c>
      <c r="T21" s="274">
        <f t="shared" si="0"/>
        <v>30000000</v>
      </c>
    </row>
    <row r="22" spans="1:20" ht="24" customHeight="1">
      <c r="A22" s="392">
        <v>22108</v>
      </c>
      <c r="B22" s="246" t="s">
        <v>547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>
        <v>21600000</v>
      </c>
      <c r="O22" s="246">
        <v>40000000</v>
      </c>
      <c r="P22" s="246">
        <v>50000000</v>
      </c>
      <c r="Q22" s="246">
        <v>50000000</v>
      </c>
      <c r="R22" s="246">
        <v>86400000</v>
      </c>
      <c r="S22" s="840">
        <v>86400000</v>
      </c>
      <c r="T22" s="274">
        <f t="shared" si="0"/>
        <v>0</v>
      </c>
    </row>
    <row r="23" spans="1:20" ht="24" customHeight="1">
      <c r="A23" s="392">
        <v>22109</v>
      </c>
      <c r="B23" s="246" t="s">
        <v>136</v>
      </c>
      <c r="C23" s="246">
        <v>6000000</v>
      </c>
      <c r="D23" s="246">
        <f>7000000+1500000</f>
        <v>8500000</v>
      </c>
      <c r="E23" s="246">
        <v>8500000</v>
      </c>
      <c r="F23" s="246">
        <v>14500000</v>
      </c>
      <c r="G23" s="246">
        <v>12000000</v>
      </c>
      <c r="H23" s="246">
        <v>15000000</v>
      </c>
      <c r="I23" s="246">
        <v>18620000</v>
      </c>
      <c r="J23" s="246">
        <v>30000000</v>
      </c>
      <c r="K23" s="246">
        <v>0</v>
      </c>
      <c r="L23" s="246">
        <v>10000000</v>
      </c>
      <c r="M23" s="246">
        <f>10000000*70%</f>
        <v>7000000</v>
      </c>
      <c r="N23" s="246">
        <f>10000000*70%</f>
        <v>7000000</v>
      </c>
      <c r="O23" s="246">
        <f>10000000*70%</f>
        <v>7000000</v>
      </c>
      <c r="P23" s="246">
        <v>10000000</v>
      </c>
      <c r="Q23" s="246">
        <v>10000000</v>
      </c>
      <c r="R23" s="246">
        <v>20000000</v>
      </c>
      <c r="S23" s="840">
        <v>30000000</v>
      </c>
      <c r="T23" s="274">
        <f t="shared" si="0"/>
        <v>10000000</v>
      </c>
    </row>
    <row r="24" spans="1:20" ht="24" customHeight="1">
      <c r="A24" s="392">
        <v>22112</v>
      </c>
      <c r="B24" s="246" t="s">
        <v>35</v>
      </c>
      <c r="C24" s="246">
        <v>4000000</v>
      </c>
      <c r="D24" s="246">
        <v>0</v>
      </c>
      <c r="E24" s="246">
        <v>3500000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100000000</v>
      </c>
      <c r="L24" s="246">
        <v>8937600</v>
      </c>
      <c r="M24" s="246">
        <f>8937600*70%</f>
        <v>6256320</v>
      </c>
      <c r="N24" s="246">
        <v>36072000</v>
      </c>
      <c r="O24" s="246">
        <v>36072000</v>
      </c>
      <c r="P24" s="246">
        <v>41072000</v>
      </c>
      <c r="Q24" s="246">
        <v>60072000</v>
      </c>
      <c r="R24" s="246">
        <v>90072000</v>
      </c>
      <c r="S24" s="840">
        <v>105000000</v>
      </c>
      <c r="T24" s="274">
        <f t="shared" si="0"/>
        <v>14928000</v>
      </c>
    </row>
    <row r="25" spans="1:20" ht="24" customHeight="1">
      <c r="A25" s="392">
        <v>22114</v>
      </c>
      <c r="B25" s="246" t="s">
        <v>829</v>
      </c>
      <c r="C25" s="246">
        <v>30688000</v>
      </c>
      <c r="D25" s="246">
        <v>3000000</v>
      </c>
      <c r="E25" s="246">
        <v>3000000</v>
      </c>
      <c r="F25" s="246">
        <v>3000000</v>
      </c>
      <c r="G25" s="246">
        <v>2400000</v>
      </c>
      <c r="H25" s="246">
        <v>3000000</v>
      </c>
      <c r="I25" s="246">
        <v>2234400</v>
      </c>
      <c r="J25" s="246">
        <v>2234400</v>
      </c>
      <c r="K25" s="246">
        <v>30688000</v>
      </c>
      <c r="L25" s="246">
        <f>30688000*70%</f>
        <v>21481600</v>
      </c>
      <c r="M25" s="246">
        <f>30688000*70%</f>
        <v>21481600</v>
      </c>
      <c r="N25" s="246">
        <v>0</v>
      </c>
      <c r="O25" s="246">
        <v>126000000</v>
      </c>
      <c r="P25" s="246">
        <v>0</v>
      </c>
      <c r="Q25" s="246">
        <v>0</v>
      </c>
      <c r="R25" s="246">
        <v>0</v>
      </c>
      <c r="S25" s="840">
        <v>0</v>
      </c>
      <c r="T25" s="274">
        <f t="shared" si="0"/>
        <v>0</v>
      </c>
    </row>
    <row r="26" spans="1:20" ht="24" customHeight="1">
      <c r="A26" s="392">
        <v>22132</v>
      </c>
      <c r="B26" s="246" t="s">
        <v>1097</v>
      </c>
      <c r="C26" s="246"/>
      <c r="D26" s="246"/>
      <c r="E26" s="246"/>
      <c r="F26" s="246"/>
      <c r="G26" s="246"/>
      <c r="H26" s="246"/>
      <c r="I26" s="246"/>
      <c r="J26" s="246"/>
      <c r="K26" s="280">
        <f>SUM(K23:K24)</f>
        <v>100000000</v>
      </c>
      <c r="L26" s="246">
        <v>11172000</v>
      </c>
      <c r="M26" s="246">
        <f>11172000*70%</f>
        <v>7820399.9999999991</v>
      </c>
      <c r="N26" s="246">
        <v>0</v>
      </c>
      <c r="O26" s="246">
        <v>0</v>
      </c>
      <c r="P26" s="246">
        <v>0</v>
      </c>
      <c r="Q26" s="246">
        <v>107600000</v>
      </c>
      <c r="R26" s="246">
        <v>147600000</v>
      </c>
      <c r="S26" s="840">
        <v>479000000</v>
      </c>
      <c r="T26" s="274">
        <f t="shared" si="0"/>
        <v>331400000</v>
      </c>
    </row>
    <row r="27" spans="1:20" ht="24" customHeight="1">
      <c r="A27" s="392"/>
      <c r="B27" s="280" t="s">
        <v>92</v>
      </c>
      <c r="C27" s="246">
        <v>10000000</v>
      </c>
      <c r="D27" s="246">
        <v>0</v>
      </c>
      <c r="E27" s="246">
        <v>0</v>
      </c>
      <c r="F27" s="246">
        <v>0</v>
      </c>
      <c r="G27" s="246">
        <v>0</v>
      </c>
      <c r="H27" s="246">
        <v>15000000</v>
      </c>
      <c r="I27" s="246">
        <v>11172000</v>
      </c>
      <c r="J27" s="246">
        <v>11172000</v>
      </c>
      <c r="K27" s="280" t="e">
        <f>SUM(#REF!)</f>
        <v>#REF!</v>
      </c>
      <c r="L27" s="280">
        <f>SUM(L15:L26)</f>
        <v>115528800</v>
      </c>
      <c r="M27" s="280">
        <f t="shared" ref="M27:Q27" si="4">SUM(M17:M26)</f>
        <v>87314640</v>
      </c>
      <c r="N27" s="280">
        <f t="shared" si="4"/>
        <v>240872000</v>
      </c>
      <c r="O27" s="280">
        <f t="shared" si="4"/>
        <v>267072000</v>
      </c>
      <c r="P27" s="280">
        <f t="shared" si="4"/>
        <v>229072000</v>
      </c>
      <c r="Q27" s="280">
        <f t="shared" si="4"/>
        <v>356072000</v>
      </c>
      <c r="R27" s="280">
        <f>SUM(R17:R26)</f>
        <v>502472000</v>
      </c>
      <c r="S27" s="851">
        <f>SUM(S17:S26)</f>
        <v>937800000</v>
      </c>
      <c r="T27" s="279">
        <f t="shared" si="0"/>
        <v>435328000</v>
      </c>
    </row>
    <row r="28" spans="1:20" ht="24" customHeight="1">
      <c r="A28" s="476">
        <v>2220</v>
      </c>
      <c r="B28" s="280" t="s">
        <v>240</v>
      </c>
      <c r="C28" s="246">
        <v>0</v>
      </c>
      <c r="D28" s="246">
        <v>0</v>
      </c>
      <c r="E28" s="246">
        <v>3418500</v>
      </c>
      <c r="F28" s="246">
        <v>27430292</v>
      </c>
      <c r="G28" s="246">
        <v>0</v>
      </c>
      <c r="H28" s="246">
        <v>0</v>
      </c>
      <c r="I28" s="246">
        <v>0</v>
      </c>
      <c r="J28" s="246">
        <v>0</v>
      </c>
      <c r="K28" s="246"/>
      <c r="L28" s="246"/>
      <c r="M28" s="246"/>
      <c r="N28" s="246"/>
      <c r="O28" s="246"/>
      <c r="P28" s="246"/>
      <c r="Q28" s="246"/>
      <c r="R28" s="246"/>
      <c r="S28" s="840"/>
      <c r="T28" s="274">
        <f t="shared" si="0"/>
        <v>0</v>
      </c>
    </row>
    <row r="29" spans="1:20" s="506" customFormat="1" ht="24" customHeight="1">
      <c r="A29" s="392">
        <v>22201</v>
      </c>
      <c r="B29" s="246" t="s">
        <v>132</v>
      </c>
      <c r="C29" s="246"/>
      <c r="D29" s="246"/>
      <c r="E29" s="246"/>
      <c r="F29" s="246"/>
      <c r="G29" s="246"/>
      <c r="H29" s="246">
        <v>0</v>
      </c>
      <c r="I29" s="246">
        <v>150000000</v>
      </c>
      <c r="J29" s="246">
        <v>224480000</v>
      </c>
      <c r="K29" s="246">
        <v>18620000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840">
        <v>0</v>
      </c>
      <c r="T29" s="274">
        <f t="shared" si="0"/>
        <v>0</v>
      </c>
    </row>
    <row r="30" spans="1:20" ht="24" customHeight="1">
      <c r="A30" s="392">
        <v>22202</v>
      </c>
      <c r="B30" s="246" t="s">
        <v>133</v>
      </c>
      <c r="C30" s="280" t="e">
        <f>#REF!+#REF!+#REF!+C16+C9</f>
        <v>#REF!</v>
      </c>
      <c r="D30" s="280" t="e">
        <f>#REF!+#REF!+#REF!+D16+D9</f>
        <v>#REF!</v>
      </c>
      <c r="E30" s="280" t="e">
        <f>#REF!+#REF!+#REF!+E16+E9</f>
        <v>#REF!</v>
      </c>
      <c r="F30" s="280" t="e">
        <f>#REF!+#REF!+#REF!+F16+F9</f>
        <v>#REF!</v>
      </c>
      <c r="G30" s="280" t="e">
        <f>#REF!+#REF!+#REF!+G16+G9</f>
        <v>#REF!</v>
      </c>
      <c r="H30" s="280" t="e">
        <f>#REF!+#REF!+#REF!+H16+H9</f>
        <v>#REF!</v>
      </c>
      <c r="I30" s="280" t="e">
        <f>#REF!+#REF!+#REF!+I16+I9</f>
        <v>#REF!</v>
      </c>
      <c r="J30" s="280" t="e">
        <f>#REF!+#REF!+#REF!+J16+J9</f>
        <v>#REF!</v>
      </c>
      <c r="K30" s="246">
        <v>2234400</v>
      </c>
      <c r="L30" s="246">
        <v>200000000</v>
      </c>
      <c r="M30" s="246">
        <f>200000000*70%+9900000</f>
        <v>149900000</v>
      </c>
      <c r="N30" s="246">
        <f>M30*80%</f>
        <v>119920000</v>
      </c>
      <c r="O30" s="246">
        <v>239840000</v>
      </c>
      <c r="P30" s="246">
        <v>239840000</v>
      </c>
      <c r="Q30" s="246">
        <v>239840000</v>
      </c>
      <c r="R30" s="246">
        <v>289840000</v>
      </c>
      <c r="S30" s="840">
        <v>349840000</v>
      </c>
      <c r="T30" s="274">
        <f t="shared" si="0"/>
        <v>60000000</v>
      </c>
    </row>
    <row r="31" spans="1:20" ht="24" customHeight="1">
      <c r="A31" s="392">
        <v>22203</v>
      </c>
      <c r="B31" s="246" t="s">
        <v>127</v>
      </c>
      <c r="C31" s="292"/>
      <c r="D31" s="292"/>
      <c r="E31" s="292"/>
      <c r="F31" s="274" t="e">
        <f>SUM(F26:F30)</f>
        <v>#REF!</v>
      </c>
      <c r="G31" s="274"/>
      <c r="H31" s="274" t="s">
        <v>4</v>
      </c>
      <c r="I31" s="274"/>
      <c r="J31" s="274"/>
      <c r="K31" s="279">
        <f>SUM(K29:K30)</f>
        <v>20854400</v>
      </c>
      <c r="L31" s="274">
        <v>26000000</v>
      </c>
      <c r="M31" s="274">
        <f>26000000*70%</f>
        <v>18200000</v>
      </c>
      <c r="N31" s="274">
        <v>22000000</v>
      </c>
      <c r="O31" s="274">
        <v>30000000</v>
      </c>
      <c r="P31" s="274">
        <v>30000000</v>
      </c>
      <c r="Q31" s="274">
        <v>40000000</v>
      </c>
      <c r="R31" s="274">
        <v>60000000</v>
      </c>
      <c r="S31" s="853">
        <v>60000000</v>
      </c>
      <c r="T31" s="274">
        <f t="shared" si="0"/>
        <v>0</v>
      </c>
    </row>
    <row r="32" spans="1:20" ht="24" customHeight="1">
      <c r="A32" s="392">
        <v>22204</v>
      </c>
      <c r="B32" s="246" t="s">
        <v>128</v>
      </c>
      <c r="C32" s="292"/>
      <c r="D32" s="292"/>
      <c r="E32" s="292"/>
      <c r="F32" s="274" t="e">
        <f>F30-F31</f>
        <v>#REF!</v>
      </c>
      <c r="G32" s="274"/>
      <c r="H32" s="274"/>
      <c r="I32" s="274"/>
      <c r="J32" s="274"/>
      <c r="K32" s="279" t="e">
        <f>K31+K27+K26+#REF!+K11</f>
        <v>#REF!</v>
      </c>
      <c r="L32" s="274">
        <v>6000000</v>
      </c>
      <c r="M32" s="274">
        <f t="shared" ref="M32:Q32" si="5">6000000*70%</f>
        <v>4200000</v>
      </c>
      <c r="N32" s="274">
        <f t="shared" si="5"/>
        <v>4200000</v>
      </c>
      <c r="O32" s="274">
        <f t="shared" si="5"/>
        <v>4200000</v>
      </c>
      <c r="P32" s="274">
        <f t="shared" si="5"/>
        <v>4200000</v>
      </c>
      <c r="Q32" s="274">
        <f t="shared" si="5"/>
        <v>4200000</v>
      </c>
      <c r="R32" s="274">
        <v>8200000</v>
      </c>
      <c r="S32" s="853">
        <v>15000000</v>
      </c>
      <c r="T32" s="274">
        <f t="shared" si="0"/>
        <v>6800000</v>
      </c>
    </row>
    <row r="33" spans="1:20" ht="24" customHeight="1">
      <c r="A33" s="392"/>
      <c r="B33" s="280" t="s">
        <v>92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79">
        <f t="shared" ref="L33:P33" si="6">SUM(L30:L32)</f>
        <v>232000000</v>
      </c>
      <c r="M33" s="279">
        <f t="shared" si="6"/>
        <v>172300000</v>
      </c>
      <c r="N33" s="279">
        <f t="shared" si="6"/>
        <v>146120000</v>
      </c>
      <c r="O33" s="279">
        <f t="shared" si="6"/>
        <v>274040000</v>
      </c>
      <c r="P33" s="279">
        <f t="shared" si="6"/>
        <v>274040000</v>
      </c>
      <c r="Q33" s="279">
        <f>SUM(Q30:Q32)</f>
        <v>284040000</v>
      </c>
      <c r="R33" s="279">
        <f>SUM(R29:R32)</f>
        <v>358040000</v>
      </c>
      <c r="S33" s="850">
        <f>SUM(S29:S32)</f>
        <v>424840000</v>
      </c>
      <c r="T33" s="279">
        <f t="shared" si="0"/>
        <v>66800000</v>
      </c>
    </row>
    <row r="34" spans="1:20" ht="24" customHeight="1">
      <c r="A34" s="476">
        <v>2230</v>
      </c>
      <c r="B34" s="280" t="s">
        <v>130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867"/>
      <c r="T34" s="274">
        <f t="shared" si="0"/>
        <v>0</v>
      </c>
    </row>
    <row r="35" spans="1:20" ht="24" customHeight="1">
      <c r="A35" s="392">
        <v>22301</v>
      </c>
      <c r="B35" s="246" t="s">
        <v>49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0">
        <v>30000000</v>
      </c>
      <c r="M35" s="290">
        <f>30000000*70%</f>
        <v>21000000</v>
      </c>
      <c r="N35" s="290">
        <f>30000000*70%</f>
        <v>21000000</v>
      </c>
      <c r="O35" s="290">
        <f>30000000*70%</f>
        <v>21000000</v>
      </c>
      <c r="P35" s="290">
        <f>30000000*70%</f>
        <v>21000000</v>
      </c>
      <c r="Q35" s="290">
        <v>30000000</v>
      </c>
      <c r="R35" s="290">
        <v>60000000</v>
      </c>
      <c r="S35" s="858">
        <v>80000000</v>
      </c>
      <c r="T35" s="274">
        <f t="shared" si="0"/>
        <v>20000000</v>
      </c>
    </row>
    <row r="36" spans="1:20" ht="24" customHeight="1">
      <c r="A36" s="392">
        <v>22302</v>
      </c>
      <c r="B36" s="246" t="s">
        <v>249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0">
        <v>5000000</v>
      </c>
      <c r="M36" s="290">
        <f t="shared" ref="M36:R36" si="7">5000000*70%</f>
        <v>3500000</v>
      </c>
      <c r="N36" s="290">
        <f t="shared" si="7"/>
        <v>3500000</v>
      </c>
      <c r="O36" s="290">
        <f t="shared" si="7"/>
        <v>3500000</v>
      </c>
      <c r="P36" s="290">
        <f t="shared" si="7"/>
        <v>3500000</v>
      </c>
      <c r="Q36" s="290">
        <f t="shared" si="7"/>
        <v>3500000</v>
      </c>
      <c r="R36" s="290">
        <f t="shared" si="7"/>
        <v>3500000</v>
      </c>
      <c r="S36" s="858">
        <v>0</v>
      </c>
      <c r="T36" s="274">
        <f t="shared" si="0"/>
        <v>-3500000</v>
      </c>
    </row>
    <row r="37" spans="1:20" ht="24" customHeight="1">
      <c r="A37" s="392"/>
      <c r="B37" s="280" t="s">
        <v>92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1">
        <f t="shared" ref="L37:P37" si="8">SUM(L35:L36)</f>
        <v>35000000</v>
      </c>
      <c r="M37" s="291">
        <f t="shared" si="8"/>
        <v>24500000</v>
      </c>
      <c r="N37" s="291">
        <f t="shared" si="8"/>
        <v>24500000</v>
      </c>
      <c r="O37" s="291">
        <f t="shared" si="8"/>
        <v>24500000</v>
      </c>
      <c r="P37" s="291">
        <f t="shared" si="8"/>
        <v>24500000</v>
      </c>
      <c r="Q37" s="291">
        <f>SUM(Q35:Q36)</f>
        <v>33500000</v>
      </c>
      <c r="R37" s="291">
        <f>SUM(R35:R36)</f>
        <v>63500000</v>
      </c>
      <c r="S37" s="860">
        <f>SUM(S35:S36)</f>
        <v>80000000</v>
      </c>
      <c r="T37" s="279">
        <f t="shared" si="0"/>
        <v>16500000</v>
      </c>
    </row>
    <row r="38" spans="1:20" ht="24" customHeight="1">
      <c r="A38" s="476">
        <v>270</v>
      </c>
      <c r="B38" s="280" t="s">
        <v>253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867"/>
      <c r="T38" s="274">
        <f t="shared" si="0"/>
        <v>0</v>
      </c>
    </row>
    <row r="39" spans="1:20" ht="24" customHeight="1">
      <c r="A39" s="476">
        <v>2710</v>
      </c>
      <c r="B39" s="280" t="s">
        <v>252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867"/>
      <c r="T39" s="274">
        <f t="shared" si="0"/>
        <v>0</v>
      </c>
    </row>
    <row r="40" spans="1:20" ht="24" customHeight="1">
      <c r="A40" s="392">
        <v>27601</v>
      </c>
      <c r="B40" s="246" t="s">
        <v>264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0">
        <v>10000000</v>
      </c>
      <c r="M40" s="290">
        <f>18657570*70%</f>
        <v>13060299</v>
      </c>
      <c r="N40" s="246">
        <v>0</v>
      </c>
      <c r="O40" s="246">
        <v>50000000</v>
      </c>
      <c r="P40" s="246">
        <v>0</v>
      </c>
      <c r="Q40" s="246">
        <v>0</v>
      </c>
      <c r="R40" s="246">
        <v>0</v>
      </c>
      <c r="S40" s="840">
        <v>0</v>
      </c>
      <c r="T40" s="274">
        <f t="shared" si="0"/>
        <v>0</v>
      </c>
    </row>
    <row r="41" spans="1:20" ht="24" customHeight="1">
      <c r="A41" s="392">
        <v>27402</v>
      </c>
      <c r="B41" s="246" t="s">
        <v>500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>
        <v>0</v>
      </c>
      <c r="M41" s="290">
        <f>108000000*70%+32400000+108000000</f>
        <v>216000000</v>
      </c>
      <c r="N41" s="246">
        <v>67200000</v>
      </c>
      <c r="O41" s="246">
        <v>0</v>
      </c>
      <c r="P41" s="246">
        <v>42000000</v>
      </c>
      <c r="Q41" s="246">
        <v>120000000</v>
      </c>
      <c r="R41" s="246">
        <v>176000000</v>
      </c>
      <c r="S41" s="840">
        <v>0</v>
      </c>
      <c r="T41" s="274">
        <f t="shared" si="0"/>
        <v>-176000000</v>
      </c>
    </row>
    <row r="42" spans="1:20" ht="24" customHeight="1">
      <c r="A42" s="392">
        <v>27502</v>
      </c>
      <c r="B42" s="246" t="s">
        <v>148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0">
        <v>4000000</v>
      </c>
      <c r="M42" s="290">
        <f>4000000*70%</f>
        <v>2800000</v>
      </c>
      <c r="N42" s="246">
        <v>0</v>
      </c>
      <c r="O42" s="246">
        <v>15000000</v>
      </c>
      <c r="P42" s="246">
        <v>15000000</v>
      </c>
      <c r="Q42" s="246"/>
      <c r="R42" s="246"/>
      <c r="S42" s="840"/>
      <c r="T42" s="274">
        <f t="shared" si="0"/>
        <v>0</v>
      </c>
    </row>
    <row r="43" spans="1:20" ht="24" customHeight="1">
      <c r="A43" s="392">
        <v>27604</v>
      </c>
      <c r="B43" s="246" t="s">
        <v>149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0">
        <v>1489600</v>
      </c>
      <c r="M43" s="290">
        <f>1489600*70%</f>
        <v>1042719.9999999999</v>
      </c>
      <c r="N43" s="246">
        <v>0</v>
      </c>
      <c r="O43" s="246">
        <v>10000000</v>
      </c>
      <c r="P43" s="246">
        <v>10000000</v>
      </c>
      <c r="Q43" s="246"/>
      <c r="R43" s="246"/>
      <c r="S43" s="840"/>
      <c r="T43" s="274">
        <f t="shared" si="0"/>
        <v>0</v>
      </c>
    </row>
    <row r="44" spans="1:20" ht="24" customHeight="1">
      <c r="A44" s="392"/>
      <c r="B44" s="280" t="s">
        <v>92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1">
        <f t="shared" ref="L44:P44" si="9">SUM(L40:L43)</f>
        <v>15489600</v>
      </c>
      <c r="M44" s="291">
        <f t="shared" si="9"/>
        <v>232903019</v>
      </c>
      <c r="N44" s="280">
        <f t="shared" si="9"/>
        <v>67200000</v>
      </c>
      <c r="O44" s="280">
        <f t="shared" si="9"/>
        <v>75000000</v>
      </c>
      <c r="P44" s="280">
        <f t="shared" si="9"/>
        <v>67000000</v>
      </c>
      <c r="Q44" s="280">
        <f>SUM(Q40:Q43)</f>
        <v>120000000</v>
      </c>
      <c r="R44" s="280">
        <f>SUM(R40:R43)</f>
        <v>176000000</v>
      </c>
      <c r="S44" s="851">
        <f>SUM(S40:S43)</f>
        <v>0</v>
      </c>
      <c r="T44" s="274">
        <f t="shared" si="0"/>
        <v>-176000000</v>
      </c>
    </row>
    <row r="45" spans="1:20" ht="24" customHeight="1">
      <c r="A45" s="476">
        <v>2720</v>
      </c>
      <c r="B45" s="280" t="s">
        <v>502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1"/>
      <c r="M45" s="291"/>
      <c r="N45" s="246"/>
      <c r="O45" s="246"/>
      <c r="P45" s="246"/>
      <c r="Q45" s="246"/>
      <c r="R45" s="246"/>
      <c r="S45" s="840"/>
      <c r="T45" s="274">
        <f t="shared" si="0"/>
        <v>0</v>
      </c>
    </row>
    <row r="46" spans="1:20" ht="24" customHeight="1">
      <c r="A46" s="476">
        <v>27202</v>
      </c>
      <c r="B46" s="246" t="s">
        <v>1334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1"/>
      <c r="M46" s="290">
        <v>0</v>
      </c>
      <c r="N46" s="246">
        <v>600000000</v>
      </c>
      <c r="O46" s="246">
        <v>360000000</v>
      </c>
      <c r="P46" s="246">
        <v>0</v>
      </c>
      <c r="Q46" s="246">
        <v>182808000</v>
      </c>
      <c r="R46" s="246">
        <v>810000000</v>
      </c>
      <c r="S46" s="840">
        <v>600000000</v>
      </c>
      <c r="T46" s="274">
        <f t="shared" si="0"/>
        <v>-210000000</v>
      </c>
    </row>
    <row r="47" spans="1:20" ht="24" customHeight="1">
      <c r="A47" s="392"/>
      <c r="B47" s="280" t="s">
        <v>92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1"/>
      <c r="M47" s="290">
        <v>0</v>
      </c>
      <c r="N47" s="280">
        <f t="shared" ref="N47:S47" si="10">SUM(N46)</f>
        <v>600000000</v>
      </c>
      <c r="O47" s="280">
        <f t="shared" si="10"/>
        <v>360000000</v>
      </c>
      <c r="P47" s="280">
        <f t="shared" si="10"/>
        <v>0</v>
      </c>
      <c r="Q47" s="280">
        <f t="shared" si="10"/>
        <v>182808000</v>
      </c>
      <c r="R47" s="280">
        <f t="shared" si="10"/>
        <v>810000000</v>
      </c>
      <c r="S47" s="851">
        <f t="shared" si="10"/>
        <v>600000000</v>
      </c>
      <c r="T47" s="279">
        <f t="shared" si="0"/>
        <v>-210000000</v>
      </c>
    </row>
    <row r="48" spans="1:20" ht="24" customHeight="1">
      <c r="A48" s="392"/>
      <c r="B48" s="280" t="s">
        <v>37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79">
        <f>L44+L37+L33+L27+L14</f>
        <v>701356800</v>
      </c>
      <c r="M48" s="279">
        <f>M44+M37+M33+M27+M14</f>
        <v>934060859</v>
      </c>
      <c r="N48" s="279">
        <f t="shared" ref="N48:S48" si="11">N47+N44+N37+N33+N27+N14</f>
        <v>1626445600</v>
      </c>
      <c r="O48" s="279">
        <f t="shared" si="11"/>
        <v>1784867200</v>
      </c>
      <c r="P48" s="279">
        <f t="shared" si="11"/>
        <v>3034337760</v>
      </c>
      <c r="Q48" s="279">
        <f t="shared" si="11"/>
        <v>4111733920</v>
      </c>
      <c r="R48" s="279">
        <f t="shared" si="11"/>
        <v>5137220960</v>
      </c>
      <c r="S48" s="850">
        <f t="shared" si="11"/>
        <v>6227138400</v>
      </c>
      <c r="T48" s="279">
        <f t="shared" si="0"/>
        <v>1089917440</v>
      </c>
    </row>
    <row r="49" spans="2:19" ht="24" customHeight="1">
      <c r="B49" s="650"/>
      <c r="C49" s="650"/>
      <c r="D49" s="650"/>
      <c r="E49" s="650"/>
      <c r="F49" s="650"/>
      <c r="G49" s="650"/>
      <c r="H49" s="650"/>
      <c r="I49" s="650"/>
      <c r="J49" s="650"/>
      <c r="K49" s="650"/>
      <c r="L49" s="650"/>
      <c r="M49" s="650"/>
      <c r="N49" s="703"/>
      <c r="O49" s="703"/>
      <c r="P49" s="704"/>
      <c r="Q49" s="704"/>
      <c r="R49" s="704"/>
      <c r="S49" s="704"/>
    </row>
  </sheetData>
  <phoneticPr fontId="0" type="noConversion"/>
  <printOptions horizontalCentered="1" verticalCentered="1" gridLines="1"/>
  <pageMargins left="0.3" right="0.4" top="0.67" bottom="0.81" header="0.25" footer="0.5"/>
  <pageSetup scale="58" orientation="portrait" r:id="rId1"/>
  <headerFooter alignWithMargins="0">
    <oddHeader>&amp;C&amp;"Algerian,Bold"&amp;36Wasaaradda Cadaaladda IYO GARSOORKA</oddHeader>
    <oddFooter>&amp;R&amp;"Times New Roman,Bold"&amp;14 15</oddFooter>
  </headerFooter>
  <ignoredErrors>
    <ignoredError sqref="L44 L37 L3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61"/>
  <sheetViews>
    <sheetView view="pageBreakPreview" topLeftCell="A40" zoomScale="60" zoomScaleNormal="75" zoomScalePageLayoutView="70" workbookViewId="0">
      <selection activeCell="T59" sqref="T59"/>
    </sheetView>
  </sheetViews>
  <sheetFormatPr defaultRowHeight="24.95" customHeight="1"/>
  <cols>
    <col min="1" max="1" width="19.1640625" style="748" bestFit="1" customWidth="1"/>
    <col min="2" max="2" width="93.5" style="748" customWidth="1"/>
    <col min="3" max="3" width="0.1640625" style="748" hidden="1" customWidth="1"/>
    <col min="4" max="4" width="17.6640625" style="748" hidden="1" customWidth="1"/>
    <col min="5" max="5" width="18" style="748" hidden="1" customWidth="1"/>
    <col min="6" max="6" width="17.6640625" style="748" hidden="1" customWidth="1"/>
    <col min="7" max="7" width="20.33203125" style="748" hidden="1" customWidth="1"/>
    <col min="8" max="8" width="22" style="748" hidden="1" customWidth="1"/>
    <col min="9" max="9" width="1.33203125" style="748" hidden="1" customWidth="1"/>
    <col min="10" max="10" width="0.83203125" style="748" hidden="1" customWidth="1"/>
    <col min="11" max="11" width="22.33203125" style="748" hidden="1" customWidth="1"/>
    <col min="12" max="12" width="25.1640625" style="748" hidden="1" customWidth="1"/>
    <col min="13" max="13" width="31.1640625" style="748" hidden="1" customWidth="1"/>
    <col min="14" max="14" width="31.6640625" style="748" hidden="1" customWidth="1"/>
    <col min="15" max="15" width="32" style="748" hidden="1" customWidth="1"/>
    <col min="16" max="16" width="29.5" style="748" hidden="1" customWidth="1"/>
    <col min="17" max="17" width="31.5" style="748" hidden="1" customWidth="1"/>
    <col min="18" max="18" width="0.1640625" style="748" customWidth="1"/>
    <col min="19" max="21" width="31.5" style="748" customWidth="1"/>
    <col min="22" max="16384" width="9.33203125" style="748"/>
  </cols>
  <sheetData>
    <row r="1" spans="1:22" ht="24.95" customHeight="1">
      <c r="A1" s="478" t="s">
        <v>40</v>
      </c>
      <c r="B1" s="545" t="s">
        <v>994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2" s="749" customFormat="1" ht="24.95" customHeight="1">
      <c r="A2" s="476">
        <v>210</v>
      </c>
      <c r="B2" s="280" t="s">
        <v>137</v>
      </c>
      <c r="C2" s="482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151</v>
      </c>
      <c r="L2" s="482" t="s">
        <v>151</v>
      </c>
      <c r="M2" s="482" t="s">
        <v>257</v>
      </c>
      <c r="N2" s="482" t="s">
        <v>440</v>
      </c>
      <c r="O2" s="482" t="s">
        <v>806</v>
      </c>
      <c r="P2" s="482" t="s">
        <v>872</v>
      </c>
      <c r="Q2" s="482" t="s">
        <v>975</v>
      </c>
      <c r="R2" s="482" t="s">
        <v>975</v>
      </c>
      <c r="S2" s="482" t="s">
        <v>1162</v>
      </c>
      <c r="T2" s="482" t="s">
        <v>1322</v>
      </c>
      <c r="U2" s="482" t="s">
        <v>56</v>
      </c>
    </row>
    <row r="3" spans="1:22" ht="24.95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2" ht="24.95" customHeight="1">
      <c r="A4" s="392">
        <v>21101</v>
      </c>
      <c r="B4" s="246" t="s">
        <v>28</v>
      </c>
      <c r="C4" s="246">
        <v>2136768000</v>
      </c>
      <c r="D4" s="246">
        <v>2136768000</v>
      </c>
      <c r="E4" s="246">
        <v>2567568000</v>
      </c>
      <c r="F4" s="246">
        <v>2653728000</v>
      </c>
      <c r="G4" s="246">
        <v>3515328000</v>
      </c>
      <c r="H4" s="246">
        <f>G4</f>
        <v>3515328000</v>
      </c>
      <c r="I4" s="246">
        <f>4569926400+318240000</f>
        <v>4888166400</v>
      </c>
      <c r="J4" s="246">
        <v>5152305600</v>
      </c>
      <c r="K4" s="246">
        <v>5788785600</v>
      </c>
      <c r="L4" s="246">
        <f>5152305600+636480000</f>
        <v>5788785600</v>
      </c>
      <c r="M4" s="246">
        <v>13817980800</v>
      </c>
      <c r="N4" s="246">
        <v>13817980800</v>
      </c>
      <c r="O4" s="246">
        <v>13633401600</v>
      </c>
      <c r="P4" s="246">
        <v>16543163520</v>
      </c>
      <c r="Q4" s="246">
        <v>18578471040</v>
      </c>
      <c r="R4" s="246">
        <v>18578471040</v>
      </c>
      <c r="S4" s="246">
        <v>18780877440</v>
      </c>
      <c r="T4" s="246">
        <v>21942829440</v>
      </c>
      <c r="U4" s="246">
        <f>T4-S4</f>
        <v>3161952000</v>
      </c>
    </row>
    <row r="5" spans="1:22" ht="24.95" customHeight="1">
      <c r="A5" s="392">
        <v>21102</v>
      </c>
      <c r="B5" s="246" t="s">
        <v>29</v>
      </c>
      <c r="C5" s="246">
        <v>7200000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/>
      <c r="L5" s="246">
        <v>0</v>
      </c>
      <c r="M5" s="246">
        <v>0</v>
      </c>
      <c r="N5" s="246">
        <v>0</v>
      </c>
      <c r="O5" s="246">
        <v>0</v>
      </c>
      <c r="P5" s="246">
        <v>0</v>
      </c>
      <c r="Q5" s="246">
        <v>0</v>
      </c>
      <c r="R5" s="246">
        <v>0</v>
      </c>
      <c r="S5" s="246">
        <v>0</v>
      </c>
      <c r="T5" s="246">
        <v>0</v>
      </c>
      <c r="U5" s="246">
        <f t="shared" ref="U5:U59" si="0">T5-S5</f>
        <v>0</v>
      </c>
    </row>
    <row r="6" spans="1:22" ht="24.95" customHeight="1">
      <c r="A6" s="392">
        <v>21103</v>
      </c>
      <c r="B6" s="246" t="s">
        <v>808</v>
      </c>
      <c r="C6" s="246">
        <v>23600000</v>
      </c>
      <c r="D6" s="246">
        <v>23600000</v>
      </c>
      <c r="E6" s="246">
        <v>23600000</v>
      </c>
      <c r="F6" s="246">
        <v>23600000</v>
      </c>
      <c r="G6" s="246">
        <f>F6</f>
        <v>23600000</v>
      </c>
      <c r="H6" s="246">
        <v>60000000</v>
      </c>
      <c r="I6" s="246">
        <v>100000000</v>
      </c>
      <c r="J6" s="246">
        <v>100000000</v>
      </c>
      <c r="K6" s="246">
        <v>100000000</v>
      </c>
      <c r="L6" s="246">
        <v>100000000</v>
      </c>
      <c r="M6" s="246">
        <v>695600000</v>
      </c>
      <c r="N6" s="246">
        <f>M6</f>
        <v>695600000</v>
      </c>
      <c r="O6" s="246">
        <f>N6</f>
        <v>695600000</v>
      </c>
      <c r="P6" s="246">
        <v>270000000</v>
      </c>
      <c r="Q6" s="246">
        <v>965600000</v>
      </c>
      <c r="R6" s="246">
        <v>965600000</v>
      </c>
      <c r="S6" s="246">
        <v>695600000</v>
      </c>
      <c r="T6" s="840">
        <v>882800000</v>
      </c>
      <c r="U6" s="246">
        <f t="shared" si="0"/>
        <v>187200000</v>
      </c>
    </row>
    <row r="7" spans="1:22" s="751" customFormat="1" ht="24.95" customHeight="1">
      <c r="A7" s="476"/>
      <c r="B7" s="280" t="s">
        <v>92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>
        <f>SUM(R4:R6)</f>
        <v>19544071040</v>
      </c>
      <c r="S7" s="280">
        <f>SUM(S4:S6)</f>
        <v>19476477440</v>
      </c>
      <c r="T7" s="851">
        <f>SUM(T4:T6)</f>
        <v>22825629440</v>
      </c>
      <c r="U7" s="280">
        <f t="shared" si="0"/>
        <v>3349152000</v>
      </c>
    </row>
    <row r="8" spans="1:22" ht="24.95" customHeight="1">
      <c r="A8" s="476">
        <v>2120</v>
      </c>
      <c r="B8" s="280" t="s">
        <v>218</v>
      </c>
      <c r="C8" s="246">
        <v>12777300</v>
      </c>
      <c r="D8" s="246">
        <v>22777350</v>
      </c>
      <c r="E8" s="246">
        <v>22777350</v>
      </c>
      <c r="F8" s="246">
        <v>22777350</v>
      </c>
      <c r="G8" s="246">
        <v>32000000</v>
      </c>
      <c r="H8" s="246">
        <v>40000000</v>
      </c>
      <c r="I8" s="246">
        <v>29792000</v>
      </c>
      <c r="J8" s="246">
        <v>35000000</v>
      </c>
      <c r="K8" s="246"/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/>
      <c r="S8" s="246"/>
      <c r="T8" s="840"/>
      <c r="U8" s="246">
        <f t="shared" si="0"/>
        <v>0</v>
      </c>
    </row>
    <row r="9" spans="1:22" ht="24.95" customHeight="1">
      <c r="A9" s="392">
        <v>21201</v>
      </c>
      <c r="B9" s="246" t="s">
        <v>222</v>
      </c>
      <c r="C9" s="246">
        <v>10000000</v>
      </c>
      <c r="D9" s="246">
        <v>10000000</v>
      </c>
      <c r="E9" s="246">
        <v>10000000</v>
      </c>
      <c r="F9" s="246">
        <v>10000000</v>
      </c>
      <c r="G9" s="246">
        <v>12000000</v>
      </c>
      <c r="H9" s="246">
        <v>15000000</v>
      </c>
      <c r="I9" s="246">
        <v>11172000</v>
      </c>
      <c r="J9" s="246">
        <v>15000000</v>
      </c>
      <c r="K9" s="246"/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840">
        <v>0</v>
      </c>
      <c r="U9" s="246">
        <f t="shared" si="0"/>
        <v>0</v>
      </c>
      <c r="V9" s="750"/>
    </row>
    <row r="10" spans="1:22" ht="24.95" customHeight="1">
      <c r="A10" s="392">
        <v>21202</v>
      </c>
      <c r="B10" s="246" t="s">
        <v>205</v>
      </c>
      <c r="C10" s="246">
        <v>620352000</v>
      </c>
      <c r="D10" s="246">
        <v>558316800</v>
      </c>
      <c r="E10" s="246">
        <v>620352000</v>
      </c>
      <c r="F10" s="246">
        <v>853072500</v>
      </c>
      <c r="G10" s="246">
        <v>784056000</v>
      </c>
      <c r="H10" s="246">
        <v>862340976</v>
      </c>
      <c r="I10" s="246">
        <f>1037170800+60051600</f>
        <v>1097222400</v>
      </c>
      <c r="J10" s="246">
        <v>1565405478</v>
      </c>
      <c r="K10" s="246"/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840">
        <v>0</v>
      </c>
      <c r="U10" s="246">
        <f t="shared" si="0"/>
        <v>0</v>
      </c>
    </row>
    <row r="11" spans="1:22" ht="24.95" customHeight="1">
      <c r="A11" s="392">
        <v>21203</v>
      </c>
      <c r="B11" s="246" t="s">
        <v>223</v>
      </c>
      <c r="C11" s="246"/>
      <c r="D11" s="246"/>
      <c r="E11" s="246"/>
      <c r="F11" s="246"/>
      <c r="G11" s="246"/>
      <c r="H11" s="246">
        <v>0</v>
      </c>
      <c r="I11" s="246">
        <f>75255375+5240625</f>
        <v>80496000</v>
      </c>
      <c r="J11" s="246">
        <v>94711500</v>
      </c>
      <c r="K11" s="246"/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840">
        <v>0</v>
      </c>
      <c r="U11" s="246">
        <f t="shared" si="0"/>
        <v>0</v>
      </c>
    </row>
    <row r="12" spans="1:22" ht="24.95" customHeight="1">
      <c r="A12" s="392">
        <v>21204</v>
      </c>
      <c r="B12" s="305" t="s">
        <v>571</v>
      </c>
      <c r="C12" s="290"/>
      <c r="D12" s="290"/>
      <c r="E12" s="290"/>
      <c r="F12" s="290"/>
      <c r="G12" s="290"/>
      <c r="H12" s="290"/>
      <c r="I12" s="290"/>
      <c r="J12" s="290"/>
      <c r="K12" s="305"/>
      <c r="L12" s="290"/>
      <c r="M12" s="290"/>
      <c r="N12" s="290">
        <v>80000000</v>
      </c>
      <c r="O12" s="290">
        <v>100000000</v>
      </c>
      <c r="P12" s="290">
        <v>100000000</v>
      </c>
      <c r="Q12" s="290">
        <v>100000000</v>
      </c>
      <c r="R12" s="290">
        <v>100000000</v>
      </c>
      <c r="S12" s="290">
        <v>100000000</v>
      </c>
      <c r="T12" s="858">
        <v>300000000</v>
      </c>
      <c r="U12" s="246">
        <f t="shared" si="0"/>
        <v>200000000</v>
      </c>
    </row>
    <row r="13" spans="1:22" ht="24.95" customHeight="1">
      <c r="A13" s="392"/>
      <c r="B13" s="280" t="s">
        <v>92</v>
      </c>
      <c r="C13" s="246"/>
      <c r="D13" s="246"/>
      <c r="E13" s="246"/>
      <c r="F13" s="246"/>
      <c r="G13" s="246"/>
      <c r="H13" s="246">
        <v>0</v>
      </c>
      <c r="I13" s="246">
        <f>30000000+2089136</f>
        <v>32089136</v>
      </c>
      <c r="J13" s="246">
        <v>32089136</v>
      </c>
      <c r="K13" s="280">
        <f t="shared" ref="K13:P13" si="1">SUM(K4:K11)</f>
        <v>5888785600</v>
      </c>
      <c r="L13" s="280">
        <f t="shared" si="1"/>
        <v>5888785600</v>
      </c>
      <c r="M13" s="280">
        <f t="shared" si="1"/>
        <v>14513580800</v>
      </c>
      <c r="N13" s="280">
        <f t="shared" si="1"/>
        <v>14513580800</v>
      </c>
      <c r="O13" s="280">
        <f t="shared" si="1"/>
        <v>14329001600</v>
      </c>
      <c r="P13" s="280">
        <f t="shared" si="1"/>
        <v>16813163520</v>
      </c>
      <c r="Q13" s="280">
        <f>SUM(Q4:Q11)</f>
        <v>19544071040</v>
      </c>
      <c r="R13" s="280">
        <f>SUM(R9:R12)</f>
        <v>100000000</v>
      </c>
      <c r="S13" s="280">
        <f>SUM(S9:S12)</f>
        <v>100000000</v>
      </c>
      <c r="T13" s="851">
        <f>SUM(T9:T12)</f>
        <v>300000000</v>
      </c>
      <c r="U13" s="280">
        <f t="shared" si="0"/>
        <v>200000000</v>
      </c>
    </row>
    <row r="14" spans="1:22" ht="24.95" customHeight="1">
      <c r="A14" s="476">
        <v>220</v>
      </c>
      <c r="B14" s="280" t="s">
        <v>225</v>
      </c>
      <c r="C14" s="246">
        <v>494272000</v>
      </c>
      <c r="D14" s="246">
        <v>547031750</v>
      </c>
      <c r="E14" s="246">
        <v>547031750</v>
      </c>
      <c r="F14" s="246">
        <v>1022000000</v>
      </c>
      <c r="G14" s="246">
        <v>1460000000</v>
      </c>
      <c r="H14" s="246">
        <v>1460000000</v>
      </c>
      <c r="I14" s="246">
        <v>3650000000</v>
      </c>
      <c r="J14" s="246">
        <v>4117500000</v>
      </c>
      <c r="K14" s="246"/>
      <c r="L14" s="246"/>
      <c r="M14" s="246"/>
      <c r="N14" s="246"/>
      <c r="O14" s="246"/>
      <c r="P14" s="246"/>
      <c r="Q14" s="246"/>
      <c r="R14" s="246"/>
      <c r="S14" s="246"/>
      <c r="T14" s="840"/>
      <c r="U14" s="246">
        <f t="shared" si="0"/>
        <v>0</v>
      </c>
    </row>
    <row r="15" spans="1:22" ht="24.95" customHeight="1">
      <c r="A15" s="476">
        <v>2210</v>
      </c>
      <c r="B15" s="280" t="s">
        <v>226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840"/>
      <c r="U15" s="246">
        <f t="shared" si="0"/>
        <v>0</v>
      </c>
    </row>
    <row r="16" spans="1:22" ht="24.95" customHeight="1">
      <c r="A16" s="392">
        <v>22101</v>
      </c>
      <c r="B16" s="246" t="s">
        <v>33</v>
      </c>
      <c r="C16" s="246">
        <v>180000000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20000000</v>
      </c>
      <c r="L16" s="246">
        <v>20000000</v>
      </c>
      <c r="M16" s="246">
        <f t="shared" ref="M16:T16" si="2">20000000*70%</f>
        <v>14000000</v>
      </c>
      <c r="N16" s="246">
        <f t="shared" si="2"/>
        <v>14000000</v>
      </c>
      <c r="O16" s="246">
        <f t="shared" si="2"/>
        <v>14000000</v>
      </c>
      <c r="P16" s="246">
        <f t="shared" si="2"/>
        <v>14000000</v>
      </c>
      <c r="Q16" s="246">
        <f t="shared" si="2"/>
        <v>14000000</v>
      </c>
      <c r="R16" s="246">
        <f t="shared" si="2"/>
        <v>14000000</v>
      </c>
      <c r="S16" s="246">
        <f t="shared" si="2"/>
        <v>14000000</v>
      </c>
      <c r="T16" s="840">
        <f t="shared" si="2"/>
        <v>14000000</v>
      </c>
      <c r="U16" s="246">
        <f t="shared" si="0"/>
        <v>0</v>
      </c>
    </row>
    <row r="17" spans="1:21" s="751" customFormat="1" ht="24.95" customHeight="1">
      <c r="A17" s="392">
        <v>22104</v>
      </c>
      <c r="B17" s="246" t="s">
        <v>157</v>
      </c>
      <c r="C17" s="280">
        <f t="shared" ref="C17:J17" si="3">SUM(C8:C16)</f>
        <v>1317401300</v>
      </c>
      <c r="D17" s="280">
        <f t="shared" si="3"/>
        <v>1138125900</v>
      </c>
      <c r="E17" s="280">
        <f t="shared" si="3"/>
        <v>1200161100</v>
      </c>
      <c r="F17" s="280">
        <f t="shared" si="3"/>
        <v>1907849850</v>
      </c>
      <c r="G17" s="280">
        <f t="shared" si="3"/>
        <v>2288056000</v>
      </c>
      <c r="H17" s="280">
        <f t="shared" si="3"/>
        <v>2377340976</v>
      </c>
      <c r="I17" s="280">
        <f t="shared" si="3"/>
        <v>4900771536</v>
      </c>
      <c r="J17" s="280">
        <f t="shared" si="3"/>
        <v>5859706114</v>
      </c>
      <c r="K17" s="246">
        <v>25000000</v>
      </c>
      <c r="L17" s="246">
        <v>25000000</v>
      </c>
      <c r="M17" s="246">
        <f t="shared" ref="M17:T17" si="4">25000000*70%</f>
        <v>17500000</v>
      </c>
      <c r="N17" s="246">
        <f t="shared" si="4"/>
        <v>17500000</v>
      </c>
      <c r="O17" s="246">
        <f t="shared" si="4"/>
        <v>17500000</v>
      </c>
      <c r="P17" s="246">
        <f t="shared" si="4"/>
        <v>17500000</v>
      </c>
      <c r="Q17" s="246">
        <f t="shared" si="4"/>
        <v>17500000</v>
      </c>
      <c r="R17" s="246">
        <f t="shared" si="4"/>
        <v>17500000</v>
      </c>
      <c r="S17" s="246">
        <f t="shared" si="4"/>
        <v>17500000</v>
      </c>
      <c r="T17" s="840">
        <f t="shared" si="4"/>
        <v>17500000</v>
      </c>
      <c r="U17" s="246">
        <f t="shared" si="0"/>
        <v>0</v>
      </c>
    </row>
    <row r="18" spans="1:21" ht="24.95" customHeight="1">
      <c r="A18" s="392">
        <v>22105</v>
      </c>
      <c r="B18" s="246" t="s">
        <v>135</v>
      </c>
      <c r="C18" s="246"/>
      <c r="D18" s="246"/>
      <c r="E18" s="246"/>
      <c r="F18" s="246"/>
      <c r="G18" s="246"/>
      <c r="H18" s="246"/>
      <c r="I18" s="246"/>
      <c r="J18" s="246"/>
      <c r="K18" s="246">
        <v>15000000</v>
      </c>
      <c r="L18" s="246">
        <v>15000000</v>
      </c>
      <c r="M18" s="246">
        <f t="shared" ref="M18:T18" si="5">15000000*70%</f>
        <v>10500000</v>
      </c>
      <c r="N18" s="246">
        <f t="shared" si="5"/>
        <v>10500000</v>
      </c>
      <c r="O18" s="246">
        <f t="shared" si="5"/>
        <v>10500000</v>
      </c>
      <c r="P18" s="246">
        <f t="shared" si="5"/>
        <v>10500000</v>
      </c>
      <c r="Q18" s="246">
        <f t="shared" si="5"/>
        <v>10500000</v>
      </c>
      <c r="R18" s="246">
        <f t="shared" si="5"/>
        <v>10500000</v>
      </c>
      <c r="S18" s="246">
        <f t="shared" si="5"/>
        <v>10500000</v>
      </c>
      <c r="T18" s="840">
        <f t="shared" si="5"/>
        <v>10500000</v>
      </c>
      <c r="U18" s="246">
        <f t="shared" si="0"/>
        <v>0</v>
      </c>
    </row>
    <row r="19" spans="1:21" ht="24.95" customHeight="1">
      <c r="A19" s="392">
        <v>22106</v>
      </c>
      <c r="B19" s="246" t="s">
        <v>570</v>
      </c>
      <c r="C19" s="246">
        <v>20000000</v>
      </c>
      <c r="D19" s="246">
        <v>20000000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20000000</v>
      </c>
      <c r="L19" s="246">
        <v>20000000</v>
      </c>
      <c r="M19" s="246">
        <f>20000000*70%</f>
        <v>14000000</v>
      </c>
      <c r="N19" s="246">
        <v>100000000</v>
      </c>
      <c r="O19" s="246">
        <v>100000000</v>
      </c>
      <c r="P19" s="246">
        <v>100000000</v>
      </c>
      <c r="Q19" s="246">
        <v>100000000</v>
      </c>
      <c r="R19" s="246">
        <v>100000000</v>
      </c>
      <c r="S19" s="246">
        <v>100000000</v>
      </c>
      <c r="T19" s="840">
        <v>100000000</v>
      </c>
      <c r="U19" s="246">
        <f t="shared" si="0"/>
        <v>0</v>
      </c>
    </row>
    <row r="20" spans="1:21" ht="24.95" customHeight="1">
      <c r="A20" s="392">
        <v>22107</v>
      </c>
      <c r="B20" s="246" t="s">
        <v>48</v>
      </c>
      <c r="C20" s="246">
        <v>40000000</v>
      </c>
      <c r="D20" s="246">
        <v>20000000</v>
      </c>
      <c r="E20" s="246">
        <v>20000000</v>
      </c>
      <c r="F20" s="246">
        <v>20000000</v>
      </c>
      <c r="G20" s="246">
        <v>24000000</v>
      </c>
      <c r="H20" s="246">
        <v>30000000</v>
      </c>
      <c r="I20" s="246">
        <v>33516000</v>
      </c>
      <c r="J20" s="246">
        <v>40000000</v>
      </c>
      <c r="K20" s="246">
        <v>30000000</v>
      </c>
      <c r="L20" s="246">
        <v>30000000</v>
      </c>
      <c r="M20" s="246">
        <f>30000000*70%</f>
        <v>21000000</v>
      </c>
      <c r="N20" s="246">
        <v>14700000</v>
      </c>
      <c r="O20" s="246">
        <v>14700000</v>
      </c>
      <c r="P20" s="246">
        <v>14700000</v>
      </c>
      <c r="Q20" s="246">
        <v>14700000</v>
      </c>
      <c r="R20" s="246">
        <v>14700000</v>
      </c>
      <c r="S20" s="246">
        <v>14700000</v>
      </c>
      <c r="T20" s="840">
        <v>14700000</v>
      </c>
      <c r="U20" s="246">
        <f t="shared" si="0"/>
        <v>0</v>
      </c>
    </row>
    <row r="21" spans="1:21" ht="24.95" customHeight="1">
      <c r="A21" s="392">
        <v>22108</v>
      </c>
      <c r="B21" s="246" t="s">
        <v>93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100000000</v>
      </c>
      <c r="I21" s="246">
        <v>0</v>
      </c>
      <c r="J21" s="246">
        <v>153000000</v>
      </c>
      <c r="K21" s="246">
        <v>30000000</v>
      </c>
      <c r="L21" s="246">
        <v>30000000</v>
      </c>
      <c r="M21" s="246">
        <f>30000000*70%</f>
        <v>21000000</v>
      </c>
      <c r="N21" s="246">
        <v>14700000</v>
      </c>
      <c r="O21" s="246">
        <v>14700000</v>
      </c>
      <c r="P21" s="246">
        <v>14700000</v>
      </c>
      <c r="Q21" s="246">
        <v>14700000</v>
      </c>
      <c r="R21" s="246">
        <v>14700000</v>
      </c>
      <c r="S21" s="246">
        <v>14700000</v>
      </c>
      <c r="T21" s="840">
        <v>14700000</v>
      </c>
      <c r="U21" s="246">
        <f t="shared" si="0"/>
        <v>0</v>
      </c>
    </row>
    <row r="22" spans="1:21" ht="24.95" customHeight="1">
      <c r="A22" s="392">
        <v>22109</v>
      </c>
      <c r="B22" s="246" t="s">
        <v>136</v>
      </c>
      <c r="C22" s="246">
        <v>10000000</v>
      </c>
      <c r="D22" s="246">
        <v>20000000</v>
      </c>
      <c r="E22" s="246">
        <v>20000000</v>
      </c>
      <c r="F22" s="246">
        <v>20000000</v>
      </c>
      <c r="G22" s="246">
        <v>16000000</v>
      </c>
      <c r="H22" s="246">
        <v>20000000</v>
      </c>
      <c r="I22" s="246">
        <v>22344000</v>
      </c>
      <c r="J22" s="246">
        <v>30000000</v>
      </c>
      <c r="K22" s="246">
        <v>10000000</v>
      </c>
      <c r="L22" s="246">
        <v>10000000</v>
      </c>
      <c r="M22" s="246">
        <f t="shared" ref="M22:T22" si="6">10000000*70%</f>
        <v>7000000</v>
      </c>
      <c r="N22" s="246">
        <f t="shared" si="6"/>
        <v>7000000</v>
      </c>
      <c r="O22" s="246">
        <f t="shared" si="6"/>
        <v>7000000</v>
      </c>
      <c r="P22" s="246">
        <f t="shared" si="6"/>
        <v>7000000</v>
      </c>
      <c r="Q22" s="246">
        <f t="shared" si="6"/>
        <v>7000000</v>
      </c>
      <c r="R22" s="246">
        <f t="shared" si="6"/>
        <v>7000000</v>
      </c>
      <c r="S22" s="246">
        <f t="shared" si="6"/>
        <v>7000000</v>
      </c>
      <c r="T22" s="840">
        <f t="shared" si="6"/>
        <v>7000000</v>
      </c>
      <c r="U22" s="246">
        <f t="shared" si="0"/>
        <v>0</v>
      </c>
    </row>
    <row r="23" spans="1:21" ht="24.95" customHeight="1">
      <c r="A23" s="392">
        <v>22112</v>
      </c>
      <c r="B23" s="246" t="s">
        <v>35</v>
      </c>
      <c r="C23" s="246">
        <v>10000000</v>
      </c>
      <c r="D23" s="246">
        <v>20000000</v>
      </c>
      <c r="E23" s="246">
        <v>20000000</v>
      </c>
      <c r="F23" s="246">
        <v>20000000</v>
      </c>
      <c r="G23" s="246">
        <v>16000000</v>
      </c>
      <c r="H23" s="246">
        <v>20000000</v>
      </c>
      <c r="I23" s="246">
        <v>22344000</v>
      </c>
      <c r="J23" s="246">
        <v>25000000</v>
      </c>
      <c r="K23" s="246">
        <v>70000000</v>
      </c>
      <c r="L23" s="246">
        <v>70000000</v>
      </c>
      <c r="M23" s="246">
        <f>70000000*70%</f>
        <v>49000000</v>
      </c>
      <c r="N23" s="246">
        <v>109000000</v>
      </c>
      <c r="O23" s="246">
        <v>209000000</v>
      </c>
      <c r="P23" s="246">
        <v>299000000</v>
      </c>
      <c r="Q23" s="246">
        <v>299000000</v>
      </c>
      <c r="R23" s="246">
        <v>299000000</v>
      </c>
      <c r="S23" s="246">
        <v>399000000</v>
      </c>
      <c r="T23" s="840">
        <v>399000000</v>
      </c>
      <c r="U23" s="246">
        <f t="shared" si="0"/>
        <v>0</v>
      </c>
    </row>
    <row r="24" spans="1:21" ht="24.95" customHeight="1">
      <c r="A24" s="392">
        <v>22116</v>
      </c>
      <c r="B24" s="246" t="s">
        <v>295</v>
      </c>
      <c r="C24" s="246"/>
      <c r="D24" s="246"/>
      <c r="E24" s="246"/>
      <c r="F24" s="246"/>
      <c r="G24" s="246"/>
      <c r="H24" s="246"/>
      <c r="I24" s="246"/>
      <c r="J24" s="246"/>
      <c r="K24" s="246">
        <v>30000000</v>
      </c>
      <c r="L24" s="246">
        <v>30000000</v>
      </c>
      <c r="M24" s="246">
        <f>30000000*70%</f>
        <v>21000000</v>
      </c>
      <c r="N24" s="246">
        <v>81000000</v>
      </c>
      <c r="O24" s="246">
        <v>100000000</v>
      </c>
      <c r="P24" s="246">
        <v>100000000</v>
      </c>
      <c r="Q24" s="246">
        <v>100000000</v>
      </c>
      <c r="R24" s="246">
        <v>100000000</v>
      </c>
      <c r="S24" s="246">
        <v>100000000</v>
      </c>
      <c r="T24" s="840">
        <v>150000000</v>
      </c>
      <c r="U24" s="246">
        <f t="shared" si="0"/>
        <v>50000000</v>
      </c>
    </row>
    <row r="25" spans="1:21" s="751" customFormat="1" ht="24.95" customHeight="1">
      <c r="A25" s="392">
        <v>22132</v>
      </c>
      <c r="B25" s="246" t="s">
        <v>187</v>
      </c>
      <c r="C25" s="280"/>
      <c r="D25" s="280"/>
      <c r="E25" s="280"/>
      <c r="F25" s="280"/>
      <c r="G25" s="280"/>
      <c r="H25" s="280"/>
      <c r="I25" s="280"/>
      <c r="J25" s="280"/>
      <c r="K25" s="246">
        <v>445775100</v>
      </c>
      <c r="L25" s="246">
        <v>445775100</v>
      </c>
      <c r="M25" s="246">
        <f>445775100</f>
        <v>445775100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840">
        <v>0</v>
      </c>
      <c r="U25" s="246">
        <f t="shared" si="0"/>
        <v>0</v>
      </c>
    </row>
    <row r="26" spans="1:21" s="751" customFormat="1" ht="24.95" customHeight="1">
      <c r="A26" s="392">
        <v>22134</v>
      </c>
      <c r="B26" s="246" t="s">
        <v>391</v>
      </c>
      <c r="C26" s="280"/>
      <c r="D26" s="280"/>
      <c r="E26" s="280"/>
      <c r="F26" s="280"/>
      <c r="G26" s="280"/>
      <c r="H26" s="280"/>
      <c r="I26" s="280"/>
      <c r="J26" s="280"/>
      <c r="K26" s="246"/>
      <c r="L26" s="246"/>
      <c r="M26" s="246"/>
      <c r="N26" s="246"/>
      <c r="O26" s="246"/>
      <c r="P26" s="246"/>
      <c r="Q26" s="246"/>
      <c r="R26" s="246">
        <v>0</v>
      </c>
      <c r="S26" s="246">
        <v>35339040</v>
      </c>
      <c r="T26" s="840">
        <v>35339040</v>
      </c>
      <c r="U26" s="246">
        <f t="shared" si="0"/>
        <v>0</v>
      </c>
    </row>
    <row r="27" spans="1:21" ht="24.95" customHeight="1">
      <c r="A27" s="392"/>
      <c r="B27" s="280" t="s">
        <v>92</v>
      </c>
      <c r="C27" s="246">
        <v>4000000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80">
        <f t="shared" ref="K27:S27" si="7">SUM(K16:K26)</f>
        <v>695775100</v>
      </c>
      <c r="L27" s="280">
        <f t="shared" si="7"/>
        <v>695775100</v>
      </c>
      <c r="M27" s="280">
        <f t="shared" si="7"/>
        <v>620775100</v>
      </c>
      <c r="N27" s="280">
        <f t="shared" si="7"/>
        <v>368400000</v>
      </c>
      <c r="O27" s="280">
        <f t="shared" si="7"/>
        <v>487400000</v>
      </c>
      <c r="P27" s="280">
        <f t="shared" si="7"/>
        <v>577400000</v>
      </c>
      <c r="Q27" s="280">
        <f t="shared" si="7"/>
        <v>577400000</v>
      </c>
      <c r="R27" s="280">
        <f t="shared" si="7"/>
        <v>577400000</v>
      </c>
      <c r="S27" s="280">
        <f t="shared" si="7"/>
        <v>712739040</v>
      </c>
      <c r="T27" s="851">
        <f t="shared" ref="T27" si="8">SUM(T16:T26)</f>
        <v>762739040</v>
      </c>
      <c r="U27" s="280">
        <f t="shared" si="0"/>
        <v>50000000</v>
      </c>
    </row>
    <row r="28" spans="1:21" ht="24.95" customHeight="1">
      <c r="A28" s="476">
        <v>2220</v>
      </c>
      <c r="B28" s="280" t="s">
        <v>240</v>
      </c>
      <c r="C28" s="246">
        <v>4000000</v>
      </c>
      <c r="D28" s="246">
        <v>24000000</v>
      </c>
      <c r="E28" s="246">
        <v>24000000</v>
      </c>
      <c r="F28" s="246">
        <v>24000000</v>
      </c>
      <c r="G28" s="246">
        <v>19200000</v>
      </c>
      <c r="H28" s="246">
        <v>24000000</v>
      </c>
      <c r="I28" s="246">
        <v>17875200</v>
      </c>
      <c r="J28" s="246">
        <v>30000000</v>
      </c>
      <c r="K28" s="246"/>
      <c r="L28" s="246"/>
      <c r="M28" s="246"/>
      <c r="N28" s="246"/>
      <c r="O28" s="246"/>
      <c r="P28" s="246"/>
      <c r="Q28" s="246"/>
      <c r="R28" s="246"/>
      <c r="S28" s="246"/>
      <c r="T28" s="840"/>
      <c r="U28" s="246">
        <f t="shared" si="0"/>
        <v>0</v>
      </c>
    </row>
    <row r="29" spans="1:21" ht="24.95" customHeight="1">
      <c r="A29" s="392">
        <v>22201</v>
      </c>
      <c r="B29" s="246" t="s">
        <v>132</v>
      </c>
      <c r="C29" s="246">
        <v>0</v>
      </c>
      <c r="D29" s="246">
        <v>0</v>
      </c>
      <c r="E29" s="246">
        <v>0</v>
      </c>
      <c r="F29" s="246">
        <v>0</v>
      </c>
      <c r="G29" s="246">
        <v>2400000</v>
      </c>
      <c r="H29" s="246">
        <v>3000000</v>
      </c>
      <c r="I29" s="246">
        <v>7448000</v>
      </c>
      <c r="J29" s="246">
        <v>10000000</v>
      </c>
      <c r="K29" s="246"/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750000000</v>
      </c>
      <c r="T29" s="840">
        <v>1100000000</v>
      </c>
      <c r="U29" s="246">
        <f t="shared" si="0"/>
        <v>350000000</v>
      </c>
    </row>
    <row r="30" spans="1:21" ht="24.95" customHeight="1">
      <c r="A30" s="392">
        <v>22202</v>
      </c>
      <c r="B30" s="246" t="s">
        <v>133</v>
      </c>
      <c r="C30" s="246"/>
      <c r="D30" s="246"/>
      <c r="E30" s="246"/>
      <c r="F30" s="246"/>
      <c r="G30" s="246"/>
      <c r="H30" s="246"/>
      <c r="I30" s="246"/>
      <c r="J30" s="246"/>
      <c r="K30" s="246">
        <v>500000000</v>
      </c>
      <c r="L30" s="246">
        <v>500000000</v>
      </c>
      <c r="M30" s="246">
        <f>1089530000</f>
        <v>1089530000</v>
      </c>
      <c r="N30" s="246">
        <v>1171624000</v>
      </c>
      <c r="O30" s="246">
        <v>1271624000</v>
      </c>
      <c r="P30" s="246">
        <v>1271624000</v>
      </c>
      <c r="Q30" s="246">
        <v>1271624000</v>
      </c>
      <c r="R30" s="246">
        <v>1271624000</v>
      </c>
      <c r="S30" s="246">
        <v>1271624000</v>
      </c>
      <c r="T30" s="840">
        <v>1571624000</v>
      </c>
      <c r="U30" s="246">
        <f t="shared" si="0"/>
        <v>300000000</v>
      </c>
    </row>
    <row r="31" spans="1:21" ht="24.95" customHeight="1">
      <c r="A31" s="392">
        <v>22203</v>
      </c>
      <c r="B31" s="246" t="s">
        <v>127</v>
      </c>
      <c r="C31" s="246">
        <v>0</v>
      </c>
      <c r="D31" s="246">
        <v>4000000</v>
      </c>
      <c r="E31" s="246">
        <v>4000000</v>
      </c>
      <c r="F31" s="246">
        <v>4000000</v>
      </c>
      <c r="G31" s="246">
        <v>4800000</v>
      </c>
      <c r="H31" s="246">
        <v>6000000</v>
      </c>
      <c r="I31" s="246">
        <v>11916800</v>
      </c>
      <c r="J31" s="246">
        <v>10000000</v>
      </c>
      <c r="K31" s="246">
        <v>45000000</v>
      </c>
      <c r="L31" s="246">
        <v>45000000</v>
      </c>
      <c r="M31" s="246">
        <f>45000000*70%</f>
        <v>31499999.999999996</v>
      </c>
      <c r="N31" s="246">
        <f>45000000*70%</f>
        <v>31499999.999999996</v>
      </c>
      <c r="O31" s="246">
        <v>41500000</v>
      </c>
      <c r="P31" s="246">
        <v>41500000</v>
      </c>
      <c r="Q31" s="246">
        <v>41500000</v>
      </c>
      <c r="R31" s="246">
        <v>41500000</v>
      </c>
      <c r="S31" s="246">
        <v>41500000</v>
      </c>
      <c r="T31" s="840">
        <v>41500000</v>
      </c>
      <c r="U31" s="246">
        <f t="shared" si="0"/>
        <v>0</v>
      </c>
    </row>
    <row r="32" spans="1:21" ht="24.95" customHeight="1">
      <c r="A32" s="392">
        <v>22204</v>
      </c>
      <c r="B32" s="246" t="s">
        <v>128</v>
      </c>
      <c r="C32" s="246">
        <v>4000000</v>
      </c>
      <c r="D32" s="246">
        <v>0</v>
      </c>
      <c r="E32" s="246">
        <v>0</v>
      </c>
      <c r="F32" s="246">
        <v>0</v>
      </c>
      <c r="G32" s="246">
        <v>0</v>
      </c>
      <c r="H32" s="246">
        <v>20000000</v>
      </c>
      <c r="I32" s="246">
        <v>14896000</v>
      </c>
      <c r="J32" s="246">
        <v>25000000</v>
      </c>
      <c r="K32" s="246">
        <v>30000000</v>
      </c>
      <c r="L32" s="246">
        <v>30000000</v>
      </c>
      <c r="M32" s="246">
        <f t="shared" ref="M32:T32" si="9">30000000*70%</f>
        <v>21000000</v>
      </c>
      <c r="N32" s="246">
        <f t="shared" si="9"/>
        <v>21000000</v>
      </c>
      <c r="O32" s="246">
        <f t="shared" si="9"/>
        <v>21000000</v>
      </c>
      <c r="P32" s="246">
        <f t="shared" si="9"/>
        <v>21000000</v>
      </c>
      <c r="Q32" s="246">
        <f t="shared" si="9"/>
        <v>21000000</v>
      </c>
      <c r="R32" s="246">
        <f t="shared" si="9"/>
        <v>21000000</v>
      </c>
      <c r="S32" s="246">
        <f t="shared" si="9"/>
        <v>21000000</v>
      </c>
      <c r="T32" s="840">
        <f t="shared" si="9"/>
        <v>21000000</v>
      </c>
      <c r="U32" s="246">
        <f t="shared" si="0"/>
        <v>0</v>
      </c>
    </row>
    <row r="33" spans="1:21" ht="24.95" customHeight="1">
      <c r="A33" s="392">
        <v>22208</v>
      </c>
      <c r="B33" s="305" t="s">
        <v>591</v>
      </c>
      <c r="C33" s="290"/>
      <c r="D33" s="290"/>
      <c r="E33" s="290"/>
      <c r="F33" s="290"/>
      <c r="G33" s="290"/>
      <c r="H33" s="290"/>
      <c r="I33" s="290"/>
      <c r="J33" s="290"/>
      <c r="K33" s="305">
        <v>9622278136</v>
      </c>
      <c r="L33" s="290">
        <v>9622278136</v>
      </c>
      <c r="M33" s="290">
        <v>11364120000</v>
      </c>
      <c r="N33" s="290">
        <v>11578259440</v>
      </c>
      <c r="O33" s="290">
        <v>11521883440</v>
      </c>
      <c r="P33" s="290">
        <v>11521883440</v>
      </c>
      <c r="Q33" s="290">
        <v>12423901126</v>
      </c>
      <c r="R33" s="290">
        <v>12423901126</v>
      </c>
      <c r="S33" s="290">
        <v>12522181126</v>
      </c>
      <c r="T33" s="858">
        <v>15539478680</v>
      </c>
      <c r="U33" s="246">
        <f t="shared" si="0"/>
        <v>3017297554</v>
      </c>
    </row>
    <row r="34" spans="1:21" ht="24.95" customHeight="1">
      <c r="A34" s="392">
        <v>22210</v>
      </c>
      <c r="B34" s="305" t="s">
        <v>270</v>
      </c>
      <c r="C34" s="305">
        <v>4000000</v>
      </c>
      <c r="D34" s="305">
        <v>0</v>
      </c>
      <c r="E34" s="305">
        <v>0</v>
      </c>
      <c r="F34" s="305">
        <v>0</v>
      </c>
      <c r="G34" s="305">
        <v>0</v>
      </c>
      <c r="H34" s="305">
        <v>30000000</v>
      </c>
      <c r="I34" s="305">
        <v>22344000</v>
      </c>
      <c r="J34" s="305">
        <v>22344000</v>
      </c>
      <c r="K34" s="305">
        <v>40000000</v>
      </c>
      <c r="L34" s="305">
        <v>40000000</v>
      </c>
      <c r="M34" s="305">
        <f t="shared" ref="M34:T34" si="10">611180000*70%</f>
        <v>427826000</v>
      </c>
      <c r="N34" s="305">
        <f t="shared" si="10"/>
        <v>427826000</v>
      </c>
      <c r="O34" s="305">
        <f t="shared" si="10"/>
        <v>427826000</v>
      </c>
      <c r="P34" s="305">
        <f t="shared" si="10"/>
        <v>427826000</v>
      </c>
      <c r="Q34" s="305">
        <f t="shared" si="10"/>
        <v>427826000</v>
      </c>
      <c r="R34" s="305">
        <f t="shared" si="10"/>
        <v>427826000</v>
      </c>
      <c r="S34" s="305">
        <f t="shared" si="10"/>
        <v>427826000</v>
      </c>
      <c r="T34" s="859">
        <f t="shared" si="10"/>
        <v>427826000</v>
      </c>
      <c r="U34" s="246">
        <f t="shared" si="0"/>
        <v>0</v>
      </c>
    </row>
    <row r="35" spans="1:21" ht="24.95" customHeight="1">
      <c r="A35" s="392">
        <v>22216</v>
      </c>
      <c r="B35" s="305" t="s">
        <v>349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>
        <v>65000000</v>
      </c>
      <c r="M35" s="290">
        <f>65000000*70%</f>
        <v>45500000</v>
      </c>
      <c r="N35" s="290">
        <v>80000000</v>
      </c>
      <c r="O35" s="290">
        <v>80000000</v>
      </c>
      <c r="P35" s="290">
        <v>80000000</v>
      </c>
      <c r="Q35" s="290">
        <v>80000000</v>
      </c>
      <c r="R35" s="290">
        <v>80000000</v>
      </c>
      <c r="S35" s="290">
        <v>80000000</v>
      </c>
      <c r="T35" s="858">
        <v>240000000</v>
      </c>
      <c r="U35" s="246">
        <f t="shared" si="0"/>
        <v>160000000</v>
      </c>
    </row>
    <row r="36" spans="1:21" ht="24.95" customHeight="1">
      <c r="A36" s="392"/>
      <c r="B36" s="313" t="s">
        <v>92</v>
      </c>
      <c r="C36" s="290"/>
      <c r="D36" s="290"/>
      <c r="E36" s="290"/>
      <c r="F36" s="290"/>
      <c r="G36" s="290"/>
      <c r="H36" s="290"/>
      <c r="I36" s="290"/>
      <c r="J36" s="290"/>
      <c r="K36" s="291">
        <f ca="1">SUM(K30:K46)</f>
        <v>10267278136</v>
      </c>
      <c r="L36" s="291">
        <f t="shared" ref="L36:R36" si="11">SUM(L29:L35)</f>
        <v>10302278136</v>
      </c>
      <c r="M36" s="291">
        <f t="shared" si="11"/>
        <v>12979476000</v>
      </c>
      <c r="N36" s="291">
        <f t="shared" si="11"/>
        <v>13310209440</v>
      </c>
      <c r="O36" s="291">
        <f t="shared" si="11"/>
        <v>13363833440</v>
      </c>
      <c r="P36" s="291">
        <f t="shared" si="11"/>
        <v>13363833440</v>
      </c>
      <c r="Q36" s="291">
        <f t="shared" si="11"/>
        <v>14265851126</v>
      </c>
      <c r="R36" s="291">
        <f t="shared" si="11"/>
        <v>14265851126</v>
      </c>
      <c r="S36" s="291">
        <f>SUM(S29:S35)</f>
        <v>15114131126</v>
      </c>
      <c r="T36" s="860">
        <f>SUM(T29:T35)</f>
        <v>18941428680</v>
      </c>
      <c r="U36" s="280">
        <f t="shared" si="0"/>
        <v>3827297554</v>
      </c>
    </row>
    <row r="37" spans="1:21" ht="24.95" customHeight="1">
      <c r="A37" s="476">
        <v>2230</v>
      </c>
      <c r="B37" s="313" t="s">
        <v>130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858"/>
      <c r="U37" s="246">
        <f t="shared" si="0"/>
        <v>0</v>
      </c>
    </row>
    <row r="38" spans="1:21" ht="24.95" customHeight="1">
      <c r="A38" s="392">
        <v>22301</v>
      </c>
      <c r="B38" s="305" t="s">
        <v>49</v>
      </c>
      <c r="C38" s="290"/>
      <c r="D38" s="290"/>
      <c r="E38" s="290"/>
      <c r="F38" s="290"/>
      <c r="G38" s="290"/>
      <c r="H38" s="290"/>
      <c r="I38" s="290"/>
      <c r="J38" s="290"/>
      <c r="K38" s="290">
        <v>100000000</v>
      </c>
      <c r="L38" s="290">
        <v>100000000</v>
      </c>
      <c r="M38" s="290">
        <f>135000000*70%+103596470</f>
        <v>198096470</v>
      </c>
      <c r="N38" s="290">
        <v>278096470</v>
      </c>
      <c r="O38" s="290">
        <v>308096470</v>
      </c>
      <c r="P38" s="290">
        <v>408096470</v>
      </c>
      <c r="Q38" s="290">
        <v>408096470</v>
      </c>
      <c r="R38" s="290">
        <v>408096470</v>
      </c>
      <c r="S38" s="290">
        <v>488096470</v>
      </c>
      <c r="T38" s="858">
        <v>588096470</v>
      </c>
      <c r="U38" s="246">
        <f t="shared" si="0"/>
        <v>100000000</v>
      </c>
    </row>
    <row r="39" spans="1:21" ht="24.95" customHeight="1">
      <c r="A39" s="392">
        <v>22302</v>
      </c>
      <c r="B39" s="305" t="s">
        <v>249</v>
      </c>
      <c r="C39" s="290"/>
      <c r="D39" s="290"/>
      <c r="E39" s="290"/>
      <c r="F39" s="290"/>
      <c r="G39" s="290"/>
      <c r="H39" s="290"/>
      <c r="I39" s="290"/>
      <c r="J39" s="290"/>
      <c r="K39" s="290">
        <v>15000000</v>
      </c>
      <c r="L39" s="290">
        <v>15000000</v>
      </c>
      <c r="M39" s="290">
        <f t="shared" ref="M39:T39" si="12">15000000*70%</f>
        <v>10500000</v>
      </c>
      <c r="N39" s="290">
        <f t="shared" si="12"/>
        <v>10500000</v>
      </c>
      <c r="O39" s="290">
        <f t="shared" si="12"/>
        <v>10500000</v>
      </c>
      <c r="P39" s="290">
        <f t="shared" si="12"/>
        <v>10500000</v>
      </c>
      <c r="Q39" s="290">
        <f t="shared" si="12"/>
        <v>10500000</v>
      </c>
      <c r="R39" s="290">
        <f t="shared" si="12"/>
        <v>10500000</v>
      </c>
      <c r="S39" s="290">
        <f t="shared" si="12"/>
        <v>10500000</v>
      </c>
      <c r="T39" s="858">
        <f t="shared" si="12"/>
        <v>10500000</v>
      </c>
      <c r="U39" s="246">
        <f t="shared" si="0"/>
        <v>0</v>
      </c>
    </row>
    <row r="40" spans="1:21" ht="24.95" customHeight="1">
      <c r="A40" s="392"/>
      <c r="B40" s="313" t="s">
        <v>92</v>
      </c>
      <c r="C40" s="290"/>
      <c r="D40" s="290"/>
      <c r="E40" s="290"/>
      <c r="F40" s="290"/>
      <c r="G40" s="290"/>
      <c r="H40" s="290"/>
      <c r="I40" s="290"/>
      <c r="J40" s="290"/>
      <c r="K40" s="291">
        <f t="shared" ref="K40:P40" si="13">SUM(K38:K39)</f>
        <v>115000000</v>
      </c>
      <c r="L40" s="291">
        <f t="shared" si="13"/>
        <v>115000000</v>
      </c>
      <c r="M40" s="291">
        <f t="shared" si="13"/>
        <v>208596470</v>
      </c>
      <c r="N40" s="291">
        <f t="shared" si="13"/>
        <v>288596470</v>
      </c>
      <c r="O40" s="291">
        <f t="shared" si="13"/>
        <v>318596470</v>
      </c>
      <c r="P40" s="291">
        <f t="shared" si="13"/>
        <v>418596470</v>
      </c>
      <c r="Q40" s="291">
        <f>SUM(Q38:Q39)</f>
        <v>418596470</v>
      </c>
      <c r="R40" s="291">
        <f>SUM(R38:R39)</f>
        <v>418596470</v>
      </c>
      <c r="S40" s="291">
        <f>SUM(S38:S39)</f>
        <v>498596470</v>
      </c>
      <c r="T40" s="860">
        <f>SUM(T38:T39)</f>
        <v>598596470</v>
      </c>
      <c r="U40" s="280">
        <f t="shared" si="0"/>
        <v>100000000</v>
      </c>
    </row>
    <row r="41" spans="1:21" ht="24.95" customHeight="1">
      <c r="A41" s="476">
        <v>270</v>
      </c>
      <c r="B41" s="313" t="s">
        <v>253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858"/>
      <c r="U41" s="246">
        <f t="shared" si="0"/>
        <v>0</v>
      </c>
    </row>
    <row r="42" spans="1:21" ht="24.95" customHeight="1">
      <c r="A42" s="476">
        <v>2710</v>
      </c>
      <c r="B42" s="313" t="s">
        <v>252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858"/>
      <c r="U42" s="246">
        <f t="shared" si="0"/>
        <v>0</v>
      </c>
    </row>
    <row r="43" spans="1:21" ht="24.95" customHeight="1">
      <c r="A43" s="392">
        <v>27601</v>
      </c>
      <c r="B43" s="305" t="s">
        <v>264</v>
      </c>
      <c r="C43" s="290"/>
      <c r="D43" s="290"/>
      <c r="E43" s="290"/>
      <c r="F43" s="290"/>
      <c r="G43" s="290"/>
      <c r="H43" s="290"/>
      <c r="I43" s="290"/>
      <c r="J43" s="290"/>
      <c r="K43" s="290">
        <v>30000000</v>
      </c>
      <c r="L43" s="290">
        <v>0</v>
      </c>
      <c r="M43" s="290">
        <v>0</v>
      </c>
      <c r="N43" s="246">
        <v>0</v>
      </c>
      <c r="O43" s="246">
        <v>0</v>
      </c>
      <c r="P43" s="246">
        <v>0</v>
      </c>
      <c r="Q43" s="246">
        <v>0</v>
      </c>
      <c r="R43" s="246">
        <v>0</v>
      </c>
      <c r="S43" s="246">
        <v>0</v>
      </c>
      <c r="T43" s="840">
        <v>0</v>
      </c>
      <c r="U43" s="246">
        <f t="shared" si="0"/>
        <v>0</v>
      </c>
    </row>
    <row r="44" spans="1:21" ht="24.95" customHeight="1">
      <c r="A44" s="392">
        <v>27402</v>
      </c>
      <c r="B44" s="305" t="s">
        <v>265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>
        <v>0</v>
      </c>
      <c r="M44" s="290">
        <v>264000000</v>
      </c>
      <c r="N44" s="246">
        <v>0</v>
      </c>
      <c r="O44" s="246">
        <v>185000000</v>
      </c>
      <c r="P44" s="246">
        <v>0</v>
      </c>
      <c r="Q44" s="246">
        <v>0</v>
      </c>
      <c r="R44" s="246">
        <v>0</v>
      </c>
      <c r="S44" s="246">
        <v>0</v>
      </c>
      <c r="T44" s="840">
        <v>0</v>
      </c>
      <c r="U44" s="246">
        <f t="shared" si="0"/>
        <v>0</v>
      </c>
    </row>
    <row r="45" spans="1:21" ht="24.95" customHeight="1">
      <c r="A45" s="392">
        <v>27606</v>
      </c>
      <c r="B45" s="305" t="s">
        <v>1336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46"/>
      <c r="O45" s="246"/>
      <c r="P45" s="246"/>
      <c r="Q45" s="246"/>
      <c r="R45" s="246"/>
      <c r="S45" s="246"/>
      <c r="T45" s="840">
        <v>400000000</v>
      </c>
      <c r="U45" s="246">
        <f t="shared" si="0"/>
        <v>400000000</v>
      </c>
    </row>
    <row r="46" spans="1:21" ht="24.95" customHeight="1">
      <c r="A46" s="392">
        <v>27608</v>
      </c>
      <c r="B46" s="305" t="s">
        <v>1335</v>
      </c>
      <c r="C46" s="290"/>
      <c r="D46" s="290"/>
      <c r="E46" s="290"/>
      <c r="F46" s="290"/>
      <c r="G46" s="290"/>
      <c r="H46" s="290"/>
      <c r="I46" s="290"/>
      <c r="J46" s="290"/>
      <c r="K46" s="290">
        <v>30000000</v>
      </c>
      <c r="L46" s="290">
        <v>30000000</v>
      </c>
      <c r="M46" s="290">
        <f>30000000*70%</f>
        <v>21000000</v>
      </c>
      <c r="N46" s="290">
        <f>30000000*70%</f>
        <v>21000000</v>
      </c>
      <c r="O46" s="290">
        <f>30000000*70%</f>
        <v>21000000</v>
      </c>
      <c r="P46" s="290">
        <f>30000000*70%</f>
        <v>21000000</v>
      </c>
      <c r="Q46" s="290">
        <f>30000000*70%</f>
        <v>21000000</v>
      </c>
      <c r="R46" s="246">
        <v>21000000</v>
      </c>
      <c r="S46" s="293">
        <f>R46</f>
        <v>21000000</v>
      </c>
      <c r="T46" s="868">
        <f>S46</f>
        <v>21000000</v>
      </c>
      <c r="U46" s="246">
        <f t="shared" si="0"/>
        <v>0</v>
      </c>
    </row>
    <row r="47" spans="1:21" ht="24.95" customHeight="1">
      <c r="A47" s="392"/>
      <c r="B47" s="313" t="s">
        <v>92</v>
      </c>
      <c r="C47" s="290"/>
      <c r="D47" s="290"/>
      <c r="E47" s="290"/>
      <c r="F47" s="290"/>
      <c r="G47" s="290"/>
      <c r="H47" s="290"/>
      <c r="I47" s="290"/>
      <c r="J47" s="290"/>
      <c r="K47" s="291">
        <f>SUM(K43:K44)</f>
        <v>30000000</v>
      </c>
      <c r="L47" s="291">
        <f>SUM(L44:L44)</f>
        <v>0</v>
      </c>
      <c r="M47" s="291">
        <f>SUM(M43:M44)</f>
        <v>264000000</v>
      </c>
      <c r="N47" s="280">
        <f>SUM(N46)</f>
        <v>21000000</v>
      </c>
      <c r="O47" s="280">
        <f t="shared" ref="O47:T47" si="14">SUM(O43:O46)</f>
        <v>206000000</v>
      </c>
      <c r="P47" s="280">
        <f t="shared" si="14"/>
        <v>21000000</v>
      </c>
      <c r="Q47" s="280">
        <f t="shared" si="14"/>
        <v>21000000</v>
      </c>
      <c r="R47" s="280">
        <f t="shared" si="14"/>
        <v>21000000</v>
      </c>
      <c r="S47" s="280">
        <f t="shared" si="14"/>
        <v>21000000</v>
      </c>
      <c r="T47" s="851">
        <f t="shared" si="14"/>
        <v>421000000</v>
      </c>
      <c r="U47" s="280">
        <f t="shared" si="0"/>
        <v>400000000</v>
      </c>
    </row>
    <row r="48" spans="1:21" ht="24.95" customHeight="1">
      <c r="A48" s="476">
        <v>2720</v>
      </c>
      <c r="B48" s="313" t="s">
        <v>1079</v>
      </c>
      <c r="C48" s="290"/>
      <c r="D48" s="290"/>
      <c r="E48" s="290"/>
      <c r="F48" s="290"/>
      <c r="G48" s="290"/>
      <c r="H48" s="290"/>
      <c r="I48" s="290"/>
      <c r="J48" s="290"/>
      <c r="K48" s="291"/>
      <c r="L48" s="291"/>
      <c r="M48" s="291"/>
      <c r="N48" s="280"/>
      <c r="O48" s="280"/>
      <c r="P48" s="280"/>
      <c r="Q48" s="280"/>
      <c r="R48" s="280"/>
      <c r="S48" s="280"/>
      <c r="T48" s="851"/>
      <c r="U48" s="246">
        <f t="shared" si="0"/>
        <v>0</v>
      </c>
    </row>
    <row r="49" spans="1:21" ht="24.95" customHeight="1">
      <c r="A49" s="392">
        <v>27209</v>
      </c>
      <c r="B49" s="305" t="s">
        <v>1432</v>
      </c>
      <c r="C49" s="290"/>
      <c r="D49" s="290"/>
      <c r="E49" s="290"/>
      <c r="F49" s="290"/>
      <c r="G49" s="290"/>
      <c r="H49" s="290"/>
      <c r="I49" s="290"/>
      <c r="J49" s="290"/>
      <c r="K49" s="291"/>
      <c r="L49" s="291"/>
      <c r="M49" s="291"/>
      <c r="N49" s="280"/>
      <c r="O49" s="280"/>
      <c r="P49" s="280"/>
      <c r="Q49" s="246">
        <v>1800000000</v>
      </c>
      <c r="R49" s="246">
        <v>1800000000</v>
      </c>
      <c r="S49" s="246">
        <f>R49</f>
        <v>1800000000</v>
      </c>
      <c r="T49" s="840">
        <v>1800000000</v>
      </c>
      <c r="U49" s="246">
        <f t="shared" si="0"/>
        <v>0</v>
      </c>
    </row>
    <row r="50" spans="1:21" ht="24.95" customHeight="1">
      <c r="A50" s="392">
        <v>27209</v>
      </c>
      <c r="B50" s="305" t="s">
        <v>1434</v>
      </c>
      <c r="C50" s="290"/>
      <c r="D50" s="290"/>
      <c r="E50" s="290"/>
      <c r="F50" s="290"/>
      <c r="G50" s="290"/>
      <c r="H50" s="290"/>
      <c r="I50" s="290"/>
      <c r="J50" s="290"/>
      <c r="K50" s="291"/>
      <c r="L50" s="291"/>
      <c r="M50" s="291"/>
      <c r="N50" s="280"/>
      <c r="O50" s="280"/>
      <c r="P50" s="280"/>
      <c r="Q50" s="246"/>
      <c r="R50" s="246"/>
      <c r="S50" s="246"/>
      <c r="T50" s="840">
        <v>2000000000</v>
      </c>
      <c r="U50" s="246">
        <f t="shared" si="0"/>
        <v>2000000000</v>
      </c>
    </row>
    <row r="51" spans="1:21" ht="24.95" customHeight="1">
      <c r="A51" s="392">
        <v>27209</v>
      </c>
      <c r="B51" s="305" t="s">
        <v>1433</v>
      </c>
      <c r="C51" s="290"/>
      <c r="D51" s="290"/>
      <c r="E51" s="290"/>
      <c r="F51" s="290"/>
      <c r="G51" s="290"/>
      <c r="H51" s="290"/>
      <c r="I51" s="290"/>
      <c r="J51" s="290"/>
      <c r="K51" s="291"/>
      <c r="L51" s="291"/>
      <c r="M51" s="291"/>
      <c r="N51" s="280"/>
      <c r="O51" s="280"/>
      <c r="P51" s="280"/>
      <c r="Q51" s="246"/>
      <c r="R51" s="246">
        <v>0</v>
      </c>
      <c r="S51" s="246">
        <v>2000000000</v>
      </c>
      <c r="T51" s="840">
        <v>700000000</v>
      </c>
      <c r="U51" s="246">
        <f t="shared" si="0"/>
        <v>-1300000000</v>
      </c>
    </row>
    <row r="52" spans="1:21" ht="24.95" customHeight="1">
      <c r="A52" s="392"/>
      <c r="B52" s="313" t="s">
        <v>92</v>
      </c>
      <c r="C52" s="290"/>
      <c r="D52" s="290"/>
      <c r="E52" s="290"/>
      <c r="F52" s="290"/>
      <c r="G52" s="290"/>
      <c r="H52" s="290"/>
      <c r="I52" s="290"/>
      <c r="J52" s="290"/>
      <c r="K52" s="291"/>
      <c r="L52" s="291"/>
      <c r="M52" s="291"/>
      <c r="N52" s="280"/>
      <c r="O52" s="280"/>
      <c r="P52" s="280"/>
      <c r="Q52" s="280">
        <f>SUM(Q49)</f>
        <v>1800000000</v>
      </c>
      <c r="R52" s="280">
        <f>SUM(R49)</f>
        <v>1800000000</v>
      </c>
      <c r="S52" s="280">
        <f>SUM(S49:S51)</f>
        <v>3800000000</v>
      </c>
      <c r="T52" s="851">
        <f>SUM(T49:T51)</f>
        <v>4500000000</v>
      </c>
      <c r="U52" s="280">
        <f t="shared" si="0"/>
        <v>700000000</v>
      </c>
    </row>
    <row r="53" spans="1:21" s="751" customFormat="1" ht="24.95" customHeight="1">
      <c r="A53" s="476">
        <v>2510</v>
      </c>
      <c r="B53" s="313" t="s">
        <v>1296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80"/>
      <c r="O53" s="280"/>
      <c r="P53" s="280"/>
      <c r="Q53" s="280"/>
      <c r="R53" s="280"/>
      <c r="S53" s="280"/>
      <c r="T53" s="851"/>
      <c r="U53" s="246">
        <f t="shared" si="0"/>
        <v>0</v>
      </c>
    </row>
    <row r="54" spans="1:21" ht="24.95" customHeight="1">
      <c r="A54" s="392">
        <v>25102</v>
      </c>
      <c r="B54" s="305" t="s">
        <v>296</v>
      </c>
      <c r="C54" s="290"/>
      <c r="D54" s="290"/>
      <c r="E54" s="290"/>
      <c r="F54" s="290"/>
      <c r="G54" s="290"/>
      <c r="H54" s="290"/>
      <c r="I54" s="290"/>
      <c r="J54" s="290"/>
      <c r="K54" s="291"/>
      <c r="L54" s="291"/>
      <c r="M54" s="291"/>
      <c r="N54" s="280"/>
      <c r="O54" s="280"/>
      <c r="P54" s="280"/>
      <c r="Q54" s="280"/>
      <c r="R54" s="246">
        <v>290000000</v>
      </c>
      <c r="S54" s="246">
        <v>290000000</v>
      </c>
      <c r="T54" s="840">
        <v>90000000</v>
      </c>
      <c r="U54" s="246">
        <f t="shared" si="0"/>
        <v>-200000000</v>
      </c>
    </row>
    <row r="55" spans="1:21" ht="24.95" customHeight="1">
      <c r="A55" s="392"/>
      <c r="B55" s="313" t="s">
        <v>92</v>
      </c>
      <c r="C55" s="290"/>
      <c r="D55" s="290"/>
      <c r="E55" s="290"/>
      <c r="F55" s="290"/>
      <c r="G55" s="290"/>
      <c r="H55" s="290"/>
      <c r="I55" s="290"/>
      <c r="J55" s="290"/>
      <c r="K55" s="291"/>
      <c r="L55" s="291"/>
      <c r="M55" s="291"/>
      <c r="N55" s="280"/>
      <c r="O55" s="280"/>
      <c r="P55" s="280"/>
      <c r="Q55" s="280"/>
      <c r="R55" s="280">
        <f>SUM(R54)</f>
        <v>290000000</v>
      </c>
      <c r="S55" s="280">
        <f>SUM(S54)</f>
        <v>290000000</v>
      </c>
      <c r="T55" s="851">
        <f>SUM(T54)</f>
        <v>90000000</v>
      </c>
      <c r="U55" s="280">
        <f t="shared" si="0"/>
        <v>-200000000</v>
      </c>
    </row>
    <row r="56" spans="1:21" ht="24.95" customHeight="1">
      <c r="A56" s="476">
        <v>2810</v>
      </c>
      <c r="B56" s="313" t="s">
        <v>1282</v>
      </c>
      <c r="C56" s="290"/>
      <c r="D56" s="290"/>
      <c r="E56" s="290"/>
      <c r="F56" s="290"/>
      <c r="G56" s="290"/>
      <c r="H56" s="290"/>
      <c r="I56" s="290"/>
      <c r="J56" s="290"/>
      <c r="K56" s="291"/>
      <c r="L56" s="291"/>
      <c r="M56" s="291"/>
      <c r="N56" s="280"/>
      <c r="O56" s="280"/>
      <c r="P56" s="280"/>
      <c r="Q56" s="280"/>
      <c r="R56" s="280"/>
      <c r="S56" s="280"/>
      <c r="T56" s="851"/>
      <c r="U56" s="246">
        <f t="shared" si="0"/>
        <v>0</v>
      </c>
    </row>
    <row r="57" spans="1:21" ht="24.95" customHeight="1">
      <c r="A57" s="392">
        <v>28102</v>
      </c>
      <c r="B57" s="305" t="s">
        <v>1283</v>
      </c>
      <c r="C57" s="290"/>
      <c r="D57" s="290"/>
      <c r="E57" s="290"/>
      <c r="F57" s="290"/>
      <c r="G57" s="290"/>
      <c r="H57" s="290"/>
      <c r="I57" s="290"/>
      <c r="J57" s="290"/>
      <c r="K57" s="291"/>
      <c r="L57" s="291"/>
      <c r="M57" s="291"/>
      <c r="N57" s="280"/>
      <c r="O57" s="280"/>
      <c r="P57" s="280"/>
      <c r="Q57" s="280"/>
      <c r="R57" s="246">
        <v>0</v>
      </c>
      <c r="S57" s="246">
        <v>50120000</v>
      </c>
      <c r="T57" s="840">
        <v>0</v>
      </c>
      <c r="U57" s="246">
        <f t="shared" si="0"/>
        <v>-50120000</v>
      </c>
    </row>
    <row r="58" spans="1:21" s="751" customFormat="1" ht="24.95" customHeight="1">
      <c r="A58" s="476"/>
      <c r="B58" s="313" t="s">
        <v>92</v>
      </c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80"/>
      <c r="O58" s="280"/>
      <c r="P58" s="280"/>
      <c r="Q58" s="280"/>
      <c r="R58" s="280">
        <f>SUM(R57)</f>
        <v>0</v>
      </c>
      <c r="S58" s="280">
        <f>SUM(S57)</f>
        <v>50120000</v>
      </c>
      <c r="T58" s="851">
        <f>SUM(T57)</f>
        <v>0</v>
      </c>
      <c r="U58" s="280">
        <f t="shared" si="0"/>
        <v>-50120000</v>
      </c>
    </row>
    <row r="59" spans="1:21" ht="24.95" customHeight="1">
      <c r="A59" s="392"/>
      <c r="B59" s="313" t="s">
        <v>37</v>
      </c>
      <c r="C59" s="290"/>
      <c r="D59" s="290"/>
      <c r="E59" s="290"/>
      <c r="F59" s="290"/>
      <c r="G59" s="290"/>
      <c r="H59" s="290"/>
      <c r="I59" s="290"/>
      <c r="J59" s="290"/>
      <c r="K59" s="291">
        <f ca="1">K47+K40+K36+K27+K13</f>
        <v>17301838836</v>
      </c>
      <c r="L59" s="291" t="e">
        <f>L47+L40+L36+L27+L13+#REF!</f>
        <v>#REF!</v>
      </c>
      <c r="M59" s="291">
        <f>M47+M40+M36+M27+M13</f>
        <v>28586428370</v>
      </c>
      <c r="N59" s="280">
        <f>N47+N40+N36+N27+N13</f>
        <v>28501786710</v>
      </c>
      <c r="O59" s="280">
        <f>O47+O40+O36+O27+O13</f>
        <v>28704831510</v>
      </c>
      <c r="P59" s="280">
        <f>P47+P40+P36+P27+P13</f>
        <v>31193993430</v>
      </c>
      <c r="Q59" s="280">
        <f>Q52+Q47+Q40+Q36+Q27+Q13</f>
        <v>36626918636</v>
      </c>
      <c r="R59" s="280">
        <f>R52+R47+R40+R36+R27+R13+R7+R55</f>
        <v>37016918636</v>
      </c>
      <c r="S59" s="280">
        <f>S52+S47+S40+S36+S27+S13+S7+S55+S58</f>
        <v>40063064076</v>
      </c>
      <c r="T59" s="851">
        <f>T52+T47+T40+T36+T27+T13+T7+T55+T58</f>
        <v>48439393630</v>
      </c>
      <c r="U59" s="280">
        <f t="shared" si="0"/>
        <v>8376329554</v>
      </c>
    </row>
    <row r="61" spans="1:21" ht="24.95" customHeight="1">
      <c r="M61" s="752"/>
    </row>
  </sheetData>
  <phoneticPr fontId="0" type="noConversion"/>
  <printOptions gridLines="1"/>
  <pageMargins left="0.7" right="0.24" top="0.75" bottom="0.45" header="0.3" footer="0.17"/>
  <pageSetup paperSize="9" scale="50" orientation="portrait" r:id="rId1"/>
  <headerFooter alignWithMargins="0">
    <oddHeader xml:space="preserve">&amp;C&amp;"Algerian,Bold"&amp;36Ciidanka Asluubta </oddHeader>
    <oddFooter>&amp;C2.2.2.8 waxaa ku jira raashinkii maxaabiista oo ah 7,300,000,000&amp;R&amp;"Times New Roman,Bold"&amp;14 16</oddFooter>
  </headerFooter>
  <colBreaks count="1" manualBreakCount="1">
    <brk id="2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view="pageBreakPreview" topLeftCell="A37" zoomScale="60" workbookViewId="0">
      <selection activeCell="R50" sqref="R50"/>
    </sheetView>
  </sheetViews>
  <sheetFormatPr defaultRowHeight="27" customHeight="1"/>
  <cols>
    <col min="1" max="1" width="18.1640625" style="399" bestFit="1" customWidth="1"/>
    <col min="2" max="2" width="87.5" style="399" customWidth="1"/>
    <col min="3" max="10" width="9.33203125" style="399" hidden="1" customWidth="1"/>
    <col min="11" max="11" width="27.6640625" style="399" hidden="1" customWidth="1"/>
    <col min="12" max="12" width="25" style="399" hidden="1" customWidth="1"/>
    <col min="13" max="14" width="33" style="561" hidden="1" customWidth="1"/>
    <col min="15" max="15" width="29.5" style="561" hidden="1" customWidth="1"/>
    <col min="16" max="16" width="0.1640625" style="561" customWidth="1"/>
    <col min="17" max="18" width="29.83203125" style="561" customWidth="1"/>
    <col min="19" max="19" width="29.5" style="399" bestFit="1" customWidth="1"/>
    <col min="20" max="16384" width="9.33203125" style="399"/>
  </cols>
  <sheetData>
    <row r="1" spans="1:19" ht="27" customHeight="1">
      <c r="A1" s="705" t="s">
        <v>40</v>
      </c>
      <c r="B1" s="545" t="s">
        <v>995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46"/>
      <c r="N1" s="246"/>
      <c r="O1" s="246"/>
      <c r="P1" s="246"/>
      <c r="Q1" s="246"/>
      <c r="R1" s="246"/>
      <c r="S1" s="491"/>
    </row>
    <row r="2" spans="1:19" ht="27" customHeight="1">
      <c r="A2" s="476">
        <v>210</v>
      </c>
      <c r="B2" s="280" t="s">
        <v>137</v>
      </c>
      <c r="C2" s="482" t="s">
        <v>297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298</v>
      </c>
      <c r="I2" s="482" t="s">
        <v>101</v>
      </c>
      <c r="J2" s="482" t="s">
        <v>107</v>
      </c>
      <c r="K2" s="482" t="s">
        <v>151</v>
      </c>
      <c r="L2" s="482" t="s">
        <v>257</v>
      </c>
      <c r="M2" s="286" t="s">
        <v>440</v>
      </c>
      <c r="N2" s="286" t="s">
        <v>806</v>
      </c>
      <c r="O2" s="286" t="s">
        <v>872</v>
      </c>
      <c r="P2" s="286" t="s">
        <v>973</v>
      </c>
      <c r="Q2" s="286" t="s">
        <v>1160</v>
      </c>
      <c r="R2" s="286" t="s">
        <v>1320</v>
      </c>
      <c r="S2" s="286" t="s">
        <v>56</v>
      </c>
    </row>
    <row r="3" spans="1:19" ht="27" customHeight="1">
      <c r="A3" s="476">
        <v>2110</v>
      </c>
      <c r="B3" s="280" t="s">
        <v>213</v>
      </c>
      <c r="C3" s="246"/>
      <c r="D3" s="246">
        <v>511176000</v>
      </c>
      <c r="E3" s="246">
        <v>511176000</v>
      </c>
      <c r="F3" s="246">
        <v>530736000</v>
      </c>
      <c r="G3" s="246">
        <f>543900000+6384000+3192000</f>
        <v>553476000</v>
      </c>
      <c r="H3" s="246">
        <f>553476000+149316000</f>
        <v>702792000</v>
      </c>
      <c r="I3" s="246">
        <v>926078400</v>
      </c>
      <c r="J3" s="246">
        <v>1046385600</v>
      </c>
      <c r="K3" s="246"/>
      <c r="L3" s="246"/>
      <c r="M3" s="246"/>
      <c r="N3" s="246"/>
      <c r="O3" s="246"/>
      <c r="P3" s="246"/>
      <c r="Q3" s="246"/>
      <c r="R3" s="246"/>
      <c r="S3" s="491"/>
    </row>
    <row r="4" spans="1:19" ht="27" customHeight="1">
      <c r="A4" s="392">
        <v>21101</v>
      </c>
      <c r="B4" s="246" t="s">
        <v>830</v>
      </c>
      <c r="C4" s="246">
        <v>1270401400</v>
      </c>
      <c r="D4" s="246"/>
      <c r="E4" s="246"/>
      <c r="F4" s="246"/>
      <c r="G4" s="246">
        <v>113400000</v>
      </c>
      <c r="H4" s="246">
        <v>0</v>
      </c>
      <c r="I4" s="246">
        <v>0</v>
      </c>
      <c r="J4" s="246">
        <v>0</v>
      </c>
      <c r="K4" s="246">
        <v>1270401400</v>
      </c>
      <c r="L4" s="246">
        <f>shaqaalaha2011!H16</f>
        <v>2367362400</v>
      </c>
      <c r="M4" s="246">
        <v>2781386400</v>
      </c>
      <c r="N4" s="246">
        <v>3130452000</v>
      </c>
      <c r="O4" s="246">
        <v>3815360640</v>
      </c>
      <c r="P4" s="246">
        <v>3812140800</v>
      </c>
      <c r="Q4" s="246">
        <v>4367301120</v>
      </c>
      <c r="R4" s="246">
        <v>5581173312</v>
      </c>
      <c r="S4" s="274">
        <f>R4-Q4</f>
        <v>1213872192</v>
      </c>
    </row>
    <row r="5" spans="1:19" ht="27" customHeight="1">
      <c r="A5" s="392">
        <v>21102</v>
      </c>
      <c r="B5" s="246" t="s">
        <v>29</v>
      </c>
      <c r="C5" s="246"/>
      <c r="D5" s="246">
        <v>0</v>
      </c>
      <c r="E5" s="246">
        <v>0</v>
      </c>
      <c r="F5" s="246">
        <v>0</v>
      </c>
      <c r="G5" s="246">
        <v>0</v>
      </c>
      <c r="H5" s="246">
        <v>450500000</v>
      </c>
      <c r="I5" s="246">
        <v>0</v>
      </c>
      <c r="J5" s="246">
        <v>0</v>
      </c>
      <c r="K5" s="246">
        <v>0</v>
      </c>
      <c r="L5" s="246">
        <v>0</v>
      </c>
      <c r="M5" s="246">
        <v>0</v>
      </c>
      <c r="N5" s="246">
        <v>0</v>
      </c>
      <c r="O5" s="246">
        <v>0</v>
      </c>
      <c r="P5" s="246">
        <v>0</v>
      </c>
      <c r="Q5" s="246">
        <v>0</v>
      </c>
      <c r="R5" s="246">
        <v>0</v>
      </c>
      <c r="S5" s="274">
        <f t="shared" ref="S5:S50" si="0">R5-Q5</f>
        <v>0</v>
      </c>
    </row>
    <row r="6" spans="1:19" ht="27" customHeight="1">
      <c r="A6" s="392">
        <v>21103</v>
      </c>
      <c r="B6" s="246" t="s">
        <v>808</v>
      </c>
      <c r="C6" s="246">
        <v>2082348600</v>
      </c>
      <c r="D6" s="246">
        <v>365064000</v>
      </c>
      <c r="E6" s="246">
        <v>365064000</v>
      </c>
      <c r="F6" s="246">
        <v>1065504000</v>
      </c>
      <c r="G6" s="246">
        <f>F6</f>
        <v>1065504000</v>
      </c>
      <c r="H6" s="246">
        <f>G6+478464000</f>
        <v>1543968000</v>
      </c>
      <c r="I6" s="246">
        <v>1555668000</v>
      </c>
      <c r="J6" s="246">
        <v>1773036600</v>
      </c>
      <c r="K6" s="246">
        <v>2082348600</v>
      </c>
      <c r="L6" s="246">
        <v>2082348600</v>
      </c>
      <c r="M6" s="246">
        <v>3424068000</v>
      </c>
      <c r="N6" s="246">
        <v>3934452000</v>
      </c>
      <c r="O6" s="246">
        <v>3878724000</v>
      </c>
      <c r="P6" s="246">
        <v>3897924000</v>
      </c>
      <c r="Q6" s="282">
        <v>6891372000</v>
      </c>
      <c r="R6" s="852">
        <v>7793604000</v>
      </c>
      <c r="S6" s="274">
        <f t="shared" si="0"/>
        <v>902232000</v>
      </c>
    </row>
    <row r="7" spans="1:19" ht="27" customHeight="1">
      <c r="A7" s="392">
        <v>21104</v>
      </c>
      <c r="B7" s="246" t="s">
        <v>490</v>
      </c>
      <c r="C7" s="246"/>
      <c r="D7" s="246"/>
      <c r="E7" s="246"/>
      <c r="F7" s="246"/>
      <c r="G7" s="246"/>
      <c r="H7" s="246">
        <v>0</v>
      </c>
      <c r="I7" s="246">
        <v>288000000</v>
      </c>
      <c r="J7" s="246">
        <v>288000000</v>
      </c>
      <c r="K7" s="246">
        <v>0</v>
      </c>
      <c r="L7" s="246">
        <v>0</v>
      </c>
      <c r="M7" s="246">
        <v>288000000</v>
      </c>
      <c r="N7" s="246">
        <v>288000000</v>
      </c>
      <c r="O7" s="246">
        <v>288000000</v>
      </c>
      <c r="P7" s="246">
        <v>288000000</v>
      </c>
      <c r="Q7" s="246">
        <v>288000000</v>
      </c>
      <c r="R7" s="840">
        <v>288000000</v>
      </c>
      <c r="S7" s="274">
        <f t="shared" si="0"/>
        <v>0</v>
      </c>
    </row>
    <row r="8" spans="1:19" ht="27" customHeight="1">
      <c r="A8" s="392">
        <v>21105</v>
      </c>
      <c r="B8" s="246" t="s">
        <v>460</v>
      </c>
      <c r="C8" s="246">
        <v>366300000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366300000</v>
      </c>
      <c r="L8" s="246">
        <v>366300000</v>
      </c>
      <c r="M8" s="246">
        <v>435600000</v>
      </c>
      <c r="N8" s="246">
        <v>550800000</v>
      </c>
      <c r="O8" s="246">
        <v>1543200000</v>
      </c>
      <c r="P8" s="246">
        <v>1568400000</v>
      </c>
      <c r="Q8" s="282">
        <v>2714400000</v>
      </c>
      <c r="R8" s="852">
        <v>3441000000</v>
      </c>
      <c r="S8" s="274">
        <f t="shared" si="0"/>
        <v>726600000</v>
      </c>
    </row>
    <row r="9" spans="1:19" ht="27" customHeight="1">
      <c r="A9" s="392"/>
      <c r="B9" s="280" t="s">
        <v>92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83">
        <f>SUM(Q4:Q8)</f>
        <v>14261073120</v>
      </c>
      <c r="R9" s="869">
        <f>SUM(R4:R8)</f>
        <v>17103777312</v>
      </c>
      <c r="S9" s="279">
        <f t="shared" si="0"/>
        <v>2842704192</v>
      </c>
    </row>
    <row r="10" spans="1:19" ht="27" customHeight="1">
      <c r="A10" s="476">
        <v>2120</v>
      </c>
      <c r="B10" s="280" t="s">
        <v>218</v>
      </c>
      <c r="C10" s="246"/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840">
        <v>0</v>
      </c>
      <c r="S10" s="274">
        <f t="shared" si="0"/>
        <v>0</v>
      </c>
    </row>
    <row r="11" spans="1:19" ht="27" customHeight="1">
      <c r="A11" s="392">
        <v>21201</v>
      </c>
      <c r="B11" s="246" t="s">
        <v>222</v>
      </c>
      <c r="C11" s="246"/>
      <c r="D11" s="246">
        <f t="shared" ref="D11:J11" si="1">SUM(D3:D10)</f>
        <v>876240000</v>
      </c>
      <c r="E11" s="246">
        <f t="shared" si="1"/>
        <v>876240000</v>
      </c>
      <c r="F11" s="246">
        <f t="shared" si="1"/>
        <v>1596240000</v>
      </c>
      <c r="G11" s="246">
        <f t="shared" si="1"/>
        <v>1732380000</v>
      </c>
      <c r="H11" s="280">
        <f t="shared" si="1"/>
        <v>2697260000</v>
      </c>
      <c r="I11" s="280">
        <f t="shared" si="1"/>
        <v>2769746400</v>
      </c>
      <c r="J11" s="280">
        <f t="shared" si="1"/>
        <v>3107422200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840">
        <v>0</v>
      </c>
      <c r="S11" s="274">
        <f t="shared" si="0"/>
        <v>0</v>
      </c>
    </row>
    <row r="12" spans="1:19" ht="27" customHeight="1">
      <c r="A12" s="392">
        <v>21202</v>
      </c>
      <c r="B12" s="246" t="s">
        <v>205</v>
      </c>
      <c r="C12" s="246"/>
      <c r="D12" s="246"/>
      <c r="E12" s="246"/>
      <c r="F12" s="292"/>
      <c r="G12" s="246"/>
      <c r="H12" s="246"/>
      <c r="I12" s="246"/>
      <c r="J12" s="246"/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840">
        <v>0</v>
      </c>
      <c r="S12" s="274">
        <f t="shared" si="0"/>
        <v>0</v>
      </c>
    </row>
    <row r="13" spans="1:19" ht="27" customHeight="1">
      <c r="A13" s="392">
        <v>21203</v>
      </c>
      <c r="B13" s="246" t="s">
        <v>223</v>
      </c>
      <c r="C13" s="246"/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840">
        <v>0</v>
      </c>
      <c r="S13" s="274">
        <f t="shared" si="0"/>
        <v>0</v>
      </c>
    </row>
    <row r="14" spans="1:19" ht="27" customHeight="1">
      <c r="A14" s="392"/>
      <c r="B14" s="280" t="s">
        <v>92</v>
      </c>
      <c r="C14" s="280">
        <f>SUM(C4:C13)</f>
        <v>3719050000</v>
      </c>
      <c r="D14" s="246">
        <v>35000000</v>
      </c>
      <c r="E14" s="246">
        <v>35000000</v>
      </c>
      <c r="F14" s="246">
        <v>35000000</v>
      </c>
      <c r="G14" s="246">
        <v>66528000</v>
      </c>
      <c r="H14" s="246">
        <v>110000000</v>
      </c>
      <c r="I14" s="246">
        <v>110000000</v>
      </c>
      <c r="J14" s="246">
        <v>130000000</v>
      </c>
      <c r="K14" s="280">
        <f t="shared" ref="K14:P14" si="2">SUM(K4:K13)</f>
        <v>3719050000</v>
      </c>
      <c r="L14" s="280">
        <f t="shared" si="2"/>
        <v>4816011000</v>
      </c>
      <c r="M14" s="280">
        <f t="shared" si="2"/>
        <v>6929054400</v>
      </c>
      <c r="N14" s="280">
        <f t="shared" si="2"/>
        <v>7903704000</v>
      </c>
      <c r="O14" s="280">
        <f t="shared" si="2"/>
        <v>9525284640</v>
      </c>
      <c r="P14" s="280">
        <f t="shared" si="2"/>
        <v>9566464800</v>
      </c>
      <c r="Q14" s="280">
        <f>SUM(Q11:Q13)</f>
        <v>0</v>
      </c>
      <c r="R14" s="851">
        <f>SUM(R11:R13)</f>
        <v>0</v>
      </c>
      <c r="S14" s="274">
        <f t="shared" si="0"/>
        <v>0</v>
      </c>
    </row>
    <row r="15" spans="1:19" ht="27" customHeight="1">
      <c r="A15" s="476">
        <v>220</v>
      </c>
      <c r="B15" s="280" t="s">
        <v>225</v>
      </c>
      <c r="C15" s="246"/>
      <c r="D15" s="246">
        <v>46068000</v>
      </c>
      <c r="E15" s="246">
        <v>46068000</v>
      </c>
      <c r="F15" s="246">
        <v>50000000</v>
      </c>
      <c r="G15" s="246">
        <v>48000000</v>
      </c>
      <c r="H15" s="246">
        <v>70000000</v>
      </c>
      <c r="I15" s="246">
        <v>70000000</v>
      </c>
      <c r="J15" s="246">
        <v>90000000</v>
      </c>
      <c r="K15" s="246"/>
      <c r="L15" s="246"/>
      <c r="M15" s="246"/>
      <c r="N15" s="246"/>
      <c r="O15" s="246"/>
      <c r="P15" s="246"/>
      <c r="Q15" s="246"/>
      <c r="R15" s="840"/>
      <c r="S15" s="274">
        <f t="shared" si="0"/>
        <v>0</v>
      </c>
    </row>
    <row r="16" spans="1:19" ht="27" customHeight="1">
      <c r="A16" s="476">
        <v>2210</v>
      </c>
      <c r="B16" s="280" t="s">
        <v>226</v>
      </c>
      <c r="C16" s="246"/>
      <c r="D16" s="246">
        <v>4000000</v>
      </c>
      <c r="E16" s="246">
        <v>4000000</v>
      </c>
      <c r="F16" s="246">
        <v>10000000</v>
      </c>
      <c r="G16" s="246">
        <v>8000000</v>
      </c>
      <c r="H16" s="246">
        <v>10000000</v>
      </c>
      <c r="I16" s="246">
        <v>11172000</v>
      </c>
      <c r="J16" s="246">
        <v>11172000</v>
      </c>
      <c r="K16" s="246"/>
      <c r="L16" s="246"/>
      <c r="M16" s="246"/>
      <c r="N16" s="246"/>
      <c r="O16" s="246"/>
      <c r="P16" s="246"/>
      <c r="Q16" s="246"/>
      <c r="R16" s="840"/>
      <c r="S16" s="274">
        <f t="shared" si="0"/>
        <v>0</v>
      </c>
    </row>
    <row r="17" spans="1:24" ht="27" customHeight="1">
      <c r="A17" s="392">
        <v>22101</v>
      </c>
      <c r="B17" s="246" t="s">
        <v>33</v>
      </c>
      <c r="C17" s="246">
        <v>20000000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20000000</v>
      </c>
      <c r="L17" s="246">
        <f>20000000*70%</f>
        <v>14000000</v>
      </c>
      <c r="M17" s="246">
        <f>20000000*70%</f>
        <v>14000000</v>
      </c>
      <c r="N17" s="246">
        <f>20000000*70%</f>
        <v>14000000</v>
      </c>
      <c r="O17" s="246">
        <f>20000000*70%</f>
        <v>14000000</v>
      </c>
      <c r="P17" s="246">
        <v>20000000</v>
      </c>
      <c r="Q17" s="246">
        <v>40000000</v>
      </c>
      <c r="R17" s="840">
        <v>80000000</v>
      </c>
      <c r="S17" s="274">
        <f t="shared" si="0"/>
        <v>40000000</v>
      </c>
    </row>
    <row r="18" spans="1:24" ht="27" customHeight="1">
      <c r="A18" s="392">
        <v>22102</v>
      </c>
      <c r="B18" s="246" t="s">
        <v>124</v>
      </c>
      <c r="C18" s="246"/>
      <c r="D18" s="246">
        <f t="shared" ref="D18:J18" si="3">SUM(D13:D17)</f>
        <v>85068000</v>
      </c>
      <c r="E18" s="246">
        <f t="shared" si="3"/>
        <v>85068000</v>
      </c>
      <c r="F18" s="246">
        <f t="shared" si="3"/>
        <v>95000000</v>
      </c>
      <c r="G18" s="246">
        <f t="shared" si="3"/>
        <v>122528000</v>
      </c>
      <c r="H18" s="280">
        <f t="shared" si="3"/>
        <v>190000000</v>
      </c>
      <c r="I18" s="280">
        <f t="shared" si="3"/>
        <v>191172000</v>
      </c>
      <c r="J18" s="280">
        <f t="shared" si="3"/>
        <v>231172000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840">
        <v>0</v>
      </c>
      <c r="S18" s="274">
        <f t="shared" si="0"/>
        <v>0</v>
      </c>
    </row>
    <row r="19" spans="1:24" ht="27" customHeight="1">
      <c r="A19" s="392">
        <v>22103</v>
      </c>
      <c r="B19" s="246" t="s">
        <v>125</v>
      </c>
      <c r="C19" s="246"/>
      <c r="D19" s="246"/>
      <c r="E19" s="246"/>
      <c r="F19" s="246"/>
      <c r="G19" s="246"/>
      <c r="H19" s="246"/>
      <c r="I19" s="246"/>
      <c r="J19" s="246"/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840">
        <v>0</v>
      </c>
      <c r="S19" s="274">
        <f t="shared" si="0"/>
        <v>0</v>
      </c>
      <c r="X19" s="675"/>
    </row>
    <row r="20" spans="1:24" ht="27" customHeight="1">
      <c r="A20" s="392">
        <v>22104</v>
      </c>
      <c r="B20" s="246" t="s">
        <v>157</v>
      </c>
      <c r="C20" s="246">
        <v>37240000</v>
      </c>
      <c r="D20" s="246">
        <v>40331000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37240000</v>
      </c>
      <c r="L20" s="246">
        <f t="shared" ref="L20:P20" si="4">37240000*70%</f>
        <v>26068000</v>
      </c>
      <c r="M20" s="246">
        <f t="shared" si="4"/>
        <v>26068000</v>
      </c>
      <c r="N20" s="246">
        <f t="shared" si="4"/>
        <v>26068000</v>
      </c>
      <c r="O20" s="246">
        <f t="shared" si="4"/>
        <v>26068000</v>
      </c>
      <c r="P20" s="246">
        <f t="shared" si="4"/>
        <v>26068000</v>
      </c>
      <c r="Q20" s="246">
        <v>53000000</v>
      </c>
      <c r="R20" s="840">
        <v>73000000</v>
      </c>
      <c r="S20" s="274">
        <f t="shared" si="0"/>
        <v>20000000</v>
      </c>
    </row>
    <row r="21" spans="1:24" ht="27" customHeight="1">
      <c r="A21" s="392">
        <v>22105</v>
      </c>
      <c r="B21" s="246" t="s">
        <v>491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>
        <v>0</v>
      </c>
      <c r="M21" s="246">
        <v>28800000</v>
      </c>
      <c r="N21" s="246">
        <v>28800000</v>
      </c>
      <c r="O21" s="246">
        <v>28800000</v>
      </c>
      <c r="P21" s="246">
        <v>28800000</v>
      </c>
      <c r="Q21" s="246">
        <v>28800000</v>
      </c>
      <c r="R21" s="840">
        <v>28800000</v>
      </c>
      <c r="S21" s="274">
        <f t="shared" si="0"/>
        <v>0</v>
      </c>
    </row>
    <row r="22" spans="1:24" ht="27" customHeight="1">
      <c r="A22" s="392">
        <v>22108</v>
      </c>
      <c r="B22" s="246" t="s">
        <v>547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>
        <v>52200000</v>
      </c>
      <c r="N22" s="246">
        <v>52200000</v>
      </c>
      <c r="O22" s="246">
        <v>102200000</v>
      </c>
      <c r="P22" s="246">
        <v>102200000</v>
      </c>
      <c r="Q22" s="246">
        <v>251700000</v>
      </c>
      <c r="R22" s="840">
        <v>251700000</v>
      </c>
      <c r="S22" s="274">
        <f t="shared" si="0"/>
        <v>0</v>
      </c>
    </row>
    <row r="23" spans="1:24" ht="27" customHeight="1">
      <c r="A23" s="392">
        <v>22109</v>
      </c>
      <c r="B23" s="246" t="s">
        <v>136</v>
      </c>
      <c r="C23" s="246">
        <v>15000000</v>
      </c>
      <c r="D23" s="246">
        <v>6000000</v>
      </c>
      <c r="E23" s="246">
        <v>6000000</v>
      </c>
      <c r="F23" s="246">
        <v>6000000</v>
      </c>
      <c r="G23" s="246">
        <v>4800000</v>
      </c>
      <c r="H23" s="246">
        <v>6000000</v>
      </c>
      <c r="I23" s="246">
        <v>4468800</v>
      </c>
      <c r="J23" s="246">
        <v>6668800</v>
      </c>
      <c r="K23" s="246">
        <v>15000000</v>
      </c>
      <c r="L23" s="246">
        <f t="shared" ref="L23:Q23" si="5">15000000*70%</f>
        <v>10500000</v>
      </c>
      <c r="M23" s="246">
        <f t="shared" si="5"/>
        <v>10500000</v>
      </c>
      <c r="N23" s="246">
        <f t="shared" si="5"/>
        <v>10500000</v>
      </c>
      <c r="O23" s="246">
        <f t="shared" si="5"/>
        <v>10500000</v>
      </c>
      <c r="P23" s="246">
        <f t="shared" si="5"/>
        <v>10500000</v>
      </c>
      <c r="Q23" s="246">
        <f t="shared" si="5"/>
        <v>10500000</v>
      </c>
      <c r="R23" s="840">
        <v>22000000</v>
      </c>
      <c r="S23" s="274">
        <f t="shared" si="0"/>
        <v>11500000</v>
      </c>
    </row>
    <row r="24" spans="1:24" ht="27" customHeight="1">
      <c r="A24" s="392">
        <v>22112</v>
      </c>
      <c r="B24" s="246" t="s">
        <v>35</v>
      </c>
      <c r="C24" s="246">
        <v>30000000</v>
      </c>
      <c r="D24" s="246">
        <v>7340350</v>
      </c>
      <c r="E24" s="246">
        <v>7340350</v>
      </c>
      <c r="F24" s="246">
        <v>7340350</v>
      </c>
      <c r="G24" s="246">
        <v>5872000</v>
      </c>
      <c r="H24" s="246">
        <v>6000000</v>
      </c>
      <c r="I24" s="246">
        <v>4486800</v>
      </c>
      <c r="J24" s="246">
        <v>4486800</v>
      </c>
      <c r="K24" s="246">
        <v>30000000</v>
      </c>
      <c r="L24" s="246">
        <f>30000000*70%</f>
        <v>21000000</v>
      </c>
      <c r="M24" s="246">
        <v>79673000</v>
      </c>
      <c r="N24" s="246">
        <v>79673000</v>
      </c>
      <c r="O24" s="246">
        <v>79673000</v>
      </c>
      <c r="P24" s="246">
        <v>79673000</v>
      </c>
      <c r="Q24" s="246">
        <v>160000000</v>
      </c>
      <c r="R24" s="840">
        <v>250000000</v>
      </c>
      <c r="S24" s="274">
        <f t="shared" si="0"/>
        <v>90000000</v>
      </c>
    </row>
    <row r="25" spans="1:24" ht="27" customHeight="1">
      <c r="A25" s="392">
        <v>22115</v>
      </c>
      <c r="B25" s="246" t="s">
        <v>299</v>
      </c>
      <c r="C25" s="246">
        <v>14896000</v>
      </c>
      <c r="D25" s="246"/>
      <c r="E25" s="246"/>
      <c r="F25" s="246">
        <v>0</v>
      </c>
      <c r="G25" s="246"/>
      <c r="H25" s="246"/>
      <c r="I25" s="246"/>
      <c r="J25" s="246"/>
      <c r="K25" s="246">
        <v>14896000</v>
      </c>
      <c r="L25" s="246">
        <f t="shared" ref="L25:R25" si="6">14896000*70%</f>
        <v>10427200</v>
      </c>
      <c r="M25" s="246">
        <f t="shared" si="6"/>
        <v>10427200</v>
      </c>
      <c r="N25" s="246">
        <f t="shared" si="6"/>
        <v>10427200</v>
      </c>
      <c r="O25" s="246">
        <f t="shared" si="6"/>
        <v>10427200</v>
      </c>
      <c r="P25" s="246">
        <f t="shared" si="6"/>
        <v>10427200</v>
      </c>
      <c r="Q25" s="246">
        <f t="shared" si="6"/>
        <v>10427200</v>
      </c>
      <c r="R25" s="840">
        <f t="shared" si="6"/>
        <v>10427200</v>
      </c>
      <c r="S25" s="274">
        <f t="shared" si="0"/>
        <v>0</v>
      </c>
    </row>
    <row r="26" spans="1:24" ht="27" customHeight="1">
      <c r="A26" s="392">
        <v>22114</v>
      </c>
      <c r="B26" s="246" t="s">
        <v>300</v>
      </c>
      <c r="C26" s="246">
        <v>30688000</v>
      </c>
      <c r="D26" s="246">
        <v>3000000</v>
      </c>
      <c r="E26" s="246">
        <v>3000000</v>
      </c>
      <c r="F26" s="246">
        <v>3000000</v>
      </c>
      <c r="G26" s="246">
        <v>2400000</v>
      </c>
      <c r="H26" s="246">
        <v>3000000</v>
      </c>
      <c r="I26" s="246">
        <v>2234400</v>
      </c>
      <c r="J26" s="246">
        <v>2234400</v>
      </c>
      <c r="K26" s="246">
        <v>30688000</v>
      </c>
      <c r="L26" s="246">
        <f t="shared" ref="L26:R26" si="7">30688000*70%</f>
        <v>21481600</v>
      </c>
      <c r="M26" s="246">
        <f t="shared" si="7"/>
        <v>21481600</v>
      </c>
      <c r="N26" s="246">
        <f t="shared" si="7"/>
        <v>21481600</v>
      </c>
      <c r="O26" s="246">
        <f t="shared" si="7"/>
        <v>21481600</v>
      </c>
      <c r="P26" s="246">
        <f t="shared" si="7"/>
        <v>21481600</v>
      </c>
      <c r="Q26" s="246">
        <f t="shared" si="7"/>
        <v>21481600</v>
      </c>
      <c r="R26" s="840">
        <f t="shared" si="7"/>
        <v>21481600</v>
      </c>
      <c r="S26" s="274">
        <f t="shared" si="0"/>
        <v>0</v>
      </c>
    </row>
    <row r="27" spans="1:24" ht="27" customHeight="1">
      <c r="A27" s="392">
        <v>22132</v>
      </c>
      <c r="B27" s="246" t="s">
        <v>187</v>
      </c>
      <c r="C27" s="246">
        <v>36000000</v>
      </c>
      <c r="D27" s="246">
        <v>162000000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36000000</v>
      </c>
      <c r="L27" s="246">
        <f>36000000*70%</f>
        <v>25200000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840">
        <v>0</v>
      </c>
      <c r="S27" s="274">
        <f t="shared" si="0"/>
        <v>0</v>
      </c>
    </row>
    <row r="28" spans="1:24" ht="27" customHeight="1">
      <c r="A28" s="392"/>
      <c r="B28" s="280" t="s">
        <v>92</v>
      </c>
      <c r="C28" s="280">
        <f>SUM(C17:C27)</f>
        <v>183824000</v>
      </c>
      <c r="D28" s="246">
        <v>18000000</v>
      </c>
      <c r="E28" s="246">
        <v>18000000</v>
      </c>
      <c r="F28" s="246">
        <v>14000000</v>
      </c>
      <c r="G28" s="246">
        <v>9600000</v>
      </c>
      <c r="H28" s="246">
        <v>12000000</v>
      </c>
      <c r="I28" s="246">
        <v>8937600</v>
      </c>
      <c r="J28" s="246">
        <v>8937600</v>
      </c>
      <c r="K28" s="280">
        <f t="shared" ref="K28:P28" si="8">SUM(K17:K27)</f>
        <v>183824000</v>
      </c>
      <c r="L28" s="280">
        <f t="shared" si="8"/>
        <v>128676800</v>
      </c>
      <c r="M28" s="280">
        <f t="shared" si="8"/>
        <v>243149800</v>
      </c>
      <c r="N28" s="280">
        <f t="shared" si="8"/>
        <v>243149800</v>
      </c>
      <c r="O28" s="280">
        <f t="shared" si="8"/>
        <v>293149800</v>
      </c>
      <c r="P28" s="280">
        <f t="shared" si="8"/>
        <v>299149800</v>
      </c>
      <c r="Q28" s="280">
        <f>SUM(Q17:Q27)</f>
        <v>575908800</v>
      </c>
      <c r="R28" s="851">
        <f>SUM(R17:R27)</f>
        <v>737408800</v>
      </c>
      <c r="S28" s="279">
        <f t="shared" si="0"/>
        <v>161500000</v>
      </c>
    </row>
    <row r="29" spans="1:24" ht="27" customHeight="1">
      <c r="A29" s="476">
        <v>2220</v>
      </c>
      <c r="B29" s="280" t="s">
        <v>240</v>
      </c>
      <c r="C29" s="246"/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/>
      <c r="L29" s="246"/>
      <c r="M29" s="246"/>
      <c r="N29" s="246"/>
      <c r="O29" s="246"/>
      <c r="P29" s="246"/>
      <c r="Q29" s="246"/>
      <c r="R29" s="840"/>
      <c r="S29" s="274">
        <f t="shared" si="0"/>
        <v>0</v>
      </c>
    </row>
    <row r="30" spans="1:24" ht="27" customHeight="1">
      <c r="A30" s="392">
        <v>22201</v>
      </c>
      <c r="B30" s="246" t="s">
        <v>132</v>
      </c>
      <c r="C30" s="246"/>
      <c r="D30" s="246">
        <v>10000000</v>
      </c>
      <c r="E30" s="246">
        <v>10000000</v>
      </c>
      <c r="F30" s="246">
        <v>10000000</v>
      </c>
      <c r="G30" s="246">
        <v>12000000</v>
      </c>
      <c r="H30" s="246">
        <v>15000000</v>
      </c>
      <c r="I30" s="246">
        <v>22344000</v>
      </c>
      <c r="J30" s="246">
        <v>22344000</v>
      </c>
      <c r="K30" s="246"/>
      <c r="L30" s="246"/>
      <c r="M30" s="246"/>
      <c r="N30" s="246"/>
      <c r="O30" s="246"/>
      <c r="P30" s="246"/>
      <c r="Q30" s="246"/>
      <c r="R30" s="840"/>
      <c r="S30" s="274">
        <f t="shared" si="0"/>
        <v>0</v>
      </c>
    </row>
    <row r="31" spans="1:24" ht="27" customHeight="1">
      <c r="A31" s="392">
        <v>22202</v>
      </c>
      <c r="B31" s="246" t="s">
        <v>133</v>
      </c>
      <c r="C31" s="246">
        <v>200000000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30000000</v>
      </c>
      <c r="K31" s="246">
        <v>200000000</v>
      </c>
      <c r="L31" s="246">
        <f>200000000*70%</f>
        <v>140000000</v>
      </c>
      <c r="M31" s="246">
        <f>L31</f>
        <v>140000000</v>
      </c>
      <c r="N31" s="246">
        <v>190000000</v>
      </c>
      <c r="O31" s="246">
        <v>220000000</v>
      </c>
      <c r="P31" s="246">
        <v>220000000</v>
      </c>
      <c r="Q31" s="246">
        <v>270000000</v>
      </c>
      <c r="R31" s="840">
        <v>343000000</v>
      </c>
      <c r="S31" s="274">
        <f t="shared" si="0"/>
        <v>73000000</v>
      </c>
    </row>
    <row r="32" spans="1:24" ht="27" customHeight="1">
      <c r="A32" s="392">
        <v>22203</v>
      </c>
      <c r="B32" s="246" t="s">
        <v>127</v>
      </c>
      <c r="C32" s="246">
        <v>90000000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90000000</v>
      </c>
      <c r="L32" s="246">
        <f>90000000*70%</f>
        <v>62999999.999999993</v>
      </c>
      <c r="M32" s="246">
        <f>90000000*70%</f>
        <v>62999999.999999993</v>
      </c>
      <c r="N32" s="246">
        <v>126000000</v>
      </c>
      <c r="O32" s="246">
        <v>156000000</v>
      </c>
      <c r="P32" s="246">
        <v>156000000</v>
      </c>
      <c r="Q32" s="246">
        <v>256000000</v>
      </c>
      <c r="R32" s="840">
        <v>356000000</v>
      </c>
      <c r="S32" s="274">
        <f t="shared" si="0"/>
        <v>100000000</v>
      </c>
    </row>
    <row r="33" spans="1:19" ht="27" customHeight="1">
      <c r="A33" s="392">
        <v>22204</v>
      </c>
      <c r="B33" s="246" t="s">
        <v>128</v>
      </c>
      <c r="C33" s="246">
        <v>15000000</v>
      </c>
      <c r="D33" s="292"/>
      <c r="E33" s="292"/>
      <c r="F33" s="292"/>
      <c r="G33" s="292"/>
      <c r="H33" s="292"/>
      <c r="I33" s="292"/>
      <c r="J33" s="292"/>
      <c r="K33" s="246">
        <v>15000000</v>
      </c>
      <c r="L33" s="246">
        <f t="shared" ref="L33:R33" si="9">15000000*70%</f>
        <v>10500000</v>
      </c>
      <c r="M33" s="246">
        <f t="shared" si="9"/>
        <v>10500000</v>
      </c>
      <c r="N33" s="246">
        <f t="shared" si="9"/>
        <v>10500000</v>
      </c>
      <c r="O33" s="246">
        <f t="shared" si="9"/>
        <v>10500000</v>
      </c>
      <c r="P33" s="246">
        <f t="shared" si="9"/>
        <v>10500000</v>
      </c>
      <c r="Q33" s="246">
        <f t="shared" si="9"/>
        <v>10500000</v>
      </c>
      <c r="R33" s="840">
        <f t="shared" si="9"/>
        <v>10500000</v>
      </c>
      <c r="S33" s="274">
        <f t="shared" si="0"/>
        <v>0</v>
      </c>
    </row>
    <row r="34" spans="1:19" ht="27" customHeight="1">
      <c r="A34" s="392"/>
      <c r="B34" s="280" t="s">
        <v>92</v>
      </c>
      <c r="C34" s="279">
        <f>SUM(C31:C33)</f>
        <v>305000000</v>
      </c>
      <c r="D34" s="292"/>
      <c r="E34" s="292"/>
      <c r="F34" s="292"/>
      <c r="G34" s="292"/>
      <c r="H34" s="292"/>
      <c r="I34" s="292"/>
      <c r="J34" s="292"/>
      <c r="K34" s="279">
        <f t="shared" ref="K34:O34" si="10">SUM(K31:K33)</f>
        <v>305000000</v>
      </c>
      <c r="L34" s="279">
        <f t="shared" si="10"/>
        <v>213500000</v>
      </c>
      <c r="M34" s="280">
        <f t="shared" si="10"/>
        <v>213500000</v>
      </c>
      <c r="N34" s="280">
        <f t="shared" si="10"/>
        <v>326500000</v>
      </c>
      <c r="O34" s="280">
        <f t="shared" si="10"/>
        <v>386500000</v>
      </c>
      <c r="P34" s="280">
        <f>SUM(P31:P33)</f>
        <v>386500000</v>
      </c>
      <c r="Q34" s="280">
        <f>SUM(Q31:Q33)</f>
        <v>536500000</v>
      </c>
      <c r="R34" s="851">
        <f>SUM(R31:R33)</f>
        <v>709500000</v>
      </c>
      <c r="S34" s="279">
        <f t="shared" si="0"/>
        <v>173000000</v>
      </c>
    </row>
    <row r="35" spans="1:19" ht="27" customHeight="1">
      <c r="A35" s="476">
        <v>2230</v>
      </c>
      <c r="B35" s="280" t="s">
        <v>130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46"/>
      <c r="N35" s="246"/>
      <c r="O35" s="246"/>
      <c r="P35" s="246"/>
      <c r="Q35" s="246"/>
      <c r="R35" s="840"/>
      <c r="S35" s="274">
        <f t="shared" si="0"/>
        <v>0</v>
      </c>
    </row>
    <row r="36" spans="1:19" ht="27" customHeight="1">
      <c r="A36" s="392">
        <v>22301</v>
      </c>
      <c r="B36" s="246" t="s">
        <v>49</v>
      </c>
      <c r="C36" s="290">
        <v>20000000</v>
      </c>
      <c r="D36" s="292"/>
      <c r="E36" s="292"/>
      <c r="F36" s="292"/>
      <c r="G36" s="292"/>
      <c r="H36" s="292"/>
      <c r="I36" s="292"/>
      <c r="J36" s="292"/>
      <c r="K36" s="290">
        <v>20000000</v>
      </c>
      <c r="L36" s="290">
        <f>20000000*70%</f>
        <v>14000000</v>
      </c>
      <c r="M36" s="246">
        <f>20000000*70%</f>
        <v>14000000</v>
      </c>
      <c r="N36" s="246">
        <f>20000000*70%</f>
        <v>14000000</v>
      </c>
      <c r="O36" s="246">
        <f>20000000*70%</f>
        <v>14000000</v>
      </c>
      <c r="P36" s="246">
        <v>28000000</v>
      </c>
      <c r="Q36" s="246">
        <v>60000000</v>
      </c>
      <c r="R36" s="840">
        <v>134000000</v>
      </c>
      <c r="S36" s="274">
        <f t="shared" si="0"/>
        <v>74000000</v>
      </c>
    </row>
    <row r="37" spans="1:19" ht="27" customHeight="1">
      <c r="A37" s="392">
        <v>22302</v>
      </c>
      <c r="B37" s="246" t="s">
        <v>249</v>
      </c>
      <c r="C37" s="290">
        <v>5000000</v>
      </c>
      <c r="D37" s="292"/>
      <c r="E37" s="292"/>
      <c r="F37" s="292"/>
      <c r="G37" s="292"/>
      <c r="H37" s="292"/>
      <c r="I37" s="292"/>
      <c r="J37" s="292"/>
      <c r="K37" s="290">
        <v>5000000</v>
      </c>
      <c r="L37" s="290">
        <f t="shared" ref="L37:Q37" si="11">5000000*70%</f>
        <v>3500000</v>
      </c>
      <c r="M37" s="246">
        <f t="shared" si="11"/>
        <v>3500000</v>
      </c>
      <c r="N37" s="246">
        <f t="shared" si="11"/>
        <v>3500000</v>
      </c>
      <c r="O37" s="246">
        <f t="shared" si="11"/>
        <v>3500000</v>
      </c>
      <c r="P37" s="246">
        <f t="shared" si="11"/>
        <v>3500000</v>
      </c>
      <c r="Q37" s="246">
        <f t="shared" si="11"/>
        <v>3500000</v>
      </c>
      <c r="R37" s="840">
        <v>0</v>
      </c>
      <c r="S37" s="274">
        <f t="shared" si="0"/>
        <v>-3500000</v>
      </c>
    </row>
    <row r="38" spans="1:19" ht="27" customHeight="1">
      <c r="A38" s="392">
        <v>22313</v>
      </c>
      <c r="B38" s="246" t="s">
        <v>251</v>
      </c>
      <c r="C38" s="292"/>
      <c r="D38" s="292"/>
      <c r="E38" s="292"/>
      <c r="F38" s="292"/>
      <c r="G38" s="292"/>
      <c r="H38" s="292"/>
      <c r="I38" s="292"/>
      <c r="J38" s="292"/>
      <c r="K38" s="292">
        <v>0</v>
      </c>
      <c r="L38" s="292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840">
        <v>0</v>
      </c>
      <c r="S38" s="274">
        <f t="shared" si="0"/>
        <v>0</v>
      </c>
    </row>
    <row r="39" spans="1:19" ht="27" customHeight="1">
      <c r="A39" s="392"/>
      <c r="B39" s="280" t="s">
        <v>92</v>
      </c>
      <c r="C39" s="291">
        <f>SUM(C36:C38)</f>
        <v>25000000</v>
      </c>
      <c r="D39" s="292"/>
      <c r="E39" s="292"/>
      <c r="F39" s="292"/>
      <c r="G39" s="292"/>
      <c r="H39" s="292"/>
      <c r="I39" s="292"/>
      <c r="J39" s="292"/>
      <c r="K39" s="291">
        <f t="shared" ref="K39:O39" si="12">SUM(K36:K38)</f>
        <v>25000000</v>
      </c>
      <c r="L39" s="291">
        <f t="shared" si="12"/>
        <v>17500000</v>
      </c>
      <c r="M39" s="280">
        <f t="shared" si="12"/>
        <v>17500000</v>
      </c>
      <c r="N39" s="280">
        <f t="shared" si="12"/>
        <v>17500000</v>
      </c>
      <c r="O39" s="280">
        <f t="shared" si="12"/>
        <v>17500000</v>
      </c>
      <c r="P39" s="280">
        <f>SUM(P36:P38)</f>
        <v>31500000</v>
      </c>
      <c r="Q39" s="280">
        <f>SUM(Q36:Q38)</f>
        <v>63500000</v>
      </c>
      <c r="R39" s="851">
        <f>SUM(R36:R38)</f>
        <v>134000000</v>
      </c>
      <c r="S39" s="279">
        <f t="shared" si="0"/>
        <v>70500000</v>
      </c>
    </row>
    <row r="40" spans="1:19" ht="27" customHeight="1">
      <c r="A40" s="476">
        <v>270</v>
      </c>
      <c r="B40" s="280" t="s">
        <v>253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46"/>
      <c r="N40" s="246"/>
      <c r="O40" s="246"/>
      <c r="P40" s="246"/>
      <c r="Q40" s="246"/>
      <c r="R40" s="840"/>
      <c r="S40" s="274">
        <f t="shared" si="0"/>
        <v>0</v>
      </c>
    </row>
    <row r="41" spans="1:19" ht="27" customHeight="1">
      <c r="A41" s="476">
        <v>2710</v>
      </c>
      <c r="B41" s="280" t="s">
        <v>252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46"/>
      <c r="N41" s="246"/>
      <c r="O41" s="246"/>
      <c r="P41" s="246"/>
      <c r="Q41" s="246"/>
      <c r="R41" s="840"/>
      <c r="S41" s="274">
        <f t="shared" si="0"/>
        <v>0</v>
      </c>
    </row>
    <row r="42" spans="1:19" ht="27" customHeight="1">
      <c r="A42" s="392">
        <v>27601</v>
      </c>
      <c r="B42" s="246" t="s">
        <v>1052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46"/>
      <c r="N42" s="246"/>
      <c r="O42" s="246"/>
      <c r="P42" s="246">
        <v>480000000</v>
      </c>
      <c r="Q42" s="246">
        <f>P42</f>
        <v>480000000</v>
      </c>
      <c r="R42" s="840">
        <v>0</v>
      </c>
      <c r="S42" s="274">
        <f t="shared" si="0"/>
        <v>-480000000</v>
      </c>
    </row>
    <row r="43" spans="1:19" ht="27" customHeight="1">
      <c r="A43" s="392">
        <v>27402</v>
      </c>
      <c r="B43" s="246" t="s">
        <v>429</v>
      </c>
      <c r="C43" s="292"/>
      <c r="D43" s="292"/>
      <c r="E43" s="292"/>
      <c r="F43" s="292"/>
      <c r="G43" s="292"/>
      <c r="H43" s="292"/>
      <c r="I43" s="292"/>
      <c r="J43" s="292"/>
      <c r="K43" s="292">
        <v>0</v>
      </c>
      <c r="L43" s="290">
        <f>96000000*70%</f>
        <v>67200000</v>
      </c>
      <c r="M43" s="246">
        <v>0</v>
      </c>
      <c r="N43" s="246">
        <v>0</v>
      </c>
      <c r="O43" s="246">
        <v>264000000</v>
      </c>
      <c r="P43" s="246">
        <v>0</v>
      </c>
      <c r="Q43" s="246">
        <v>280800000</v>
      </c>
      <c r="R43" s="840">
        <v>0</v>
      </c>
      <c r="S43" s="274">
        <f t="shared" si="0"/>
        <v>-280800000</v>
      </c>
    </row>
    <row r="44" spans="1:19" ht="27" customHeight="1">
      <c r="A44" s="392">
        <v>27502</v>
      </c>
      <c r="B44" s="246" t="s">
        <v>148</v>
      </c>
      <c r="C44" s="290">
        <v>6000000</v>
      </c>
      <c r="D44" s="292"/>
      <c r="E44" s="292"/>
      <c r="F44" s="292"/>
      <c r="G44" s="292"/>
      <c r="H44" s="292"/>
      <c r="I44" s="292"/>
      <c r="J44" s="292"/>
      <c r="K44" s="290">
        <v>6000000</v>
      </c>
      <c r="L44" s="290">
        <f>6000000*70%</f>
        <v>4200000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840">
        <v>0</v>
      </c>
      <c r="S44" s="274">
        <f t="shared" si="0"/>
        <v>0</v>
      </c>
    </row>
    <row r="45" spans="1:19" ht="27" customHeight="1">
      <c r="A45" s="392">
        <v>27604</v>
      </c>
      <c r="B45" s="246" t="s">
        <v>149</v>
      </c>
      <c r="C45" s="290">
        <v>4486800</v>
      </c>
      <c r="D45" s="292"/>
      <c r="E45" s="292"/>
      <c r="F45" s="292"/>
      <c r="G45" s="292"/>
      <c r="H45" s="292"/>
      <c r="I45" s="292"/>
      <c r="J45" s="292"/>
      <c r="K45" s="290">
        <v>4486800</v>
      </c>
      <c r="L45" s="290">
        <f>4486800*70%</f>
        <v>3140760</v>
      </c>
      <c r="M45" s="246">
        <v>0</v>
      </c>
      <c r="N45" s="246">
        <v>0</v>
      </c>
      <c r="O45" s="246">
        <v>0</v>
      </c>
      <c r="P45" s="246">
        <v>0</v>
      </c>
      <c r="Q45" s="246">
        <v>0</v>
      </c>
      <c r="R45" s="840">
        <v>0</v>
      </c>
      <c r="S45" s="274">
        <f t="shared" si="0"/>
        <v>0</v>
      </c>
    </row>
    <row r="46" spans="1:19" ht="27" customHeight="1">
      <c r="A46" s="392"/>
      <c r="B46" s="280" t="s">
        <v>92</v>
      </c>
      <c r="C46" s="291">
        <f>SUM(C44:C45)</f>
        <v>10486800</v>
      </c>
      <c r="D46" s="292"/>
      <c r="E46" s="292"/>
      <c r="F46" s="292"/>
      <c r="G46" s="292"/>
      <c r="H46" s="292"/>
      <c r="I46" s="292"/>
      <c r="J46" s="292"/>
      <c r="K46" s="291">
        <f>SUM(K44:K45)</f>
        <v>10486800</v>
      </c>
      <c r="L46" s="291">
        <f>SUM(L43:L45)</f>
        <v>74540760</v>
      </c>
      <c r="M46" s="280">
        <f>SUM(M43:M45)</f>
        <v>0</v>
      </c>
      <c r="N46" s="280">
        <f>SUM(N43:N45)</f>
        <v>0</v>
      </c>
      <c r="O46" s="280">
        <f>SUM(O43:O45)</f>
        <v>264000000</v>
      </c>
      <c r="P46" s="280">
        <f>SUM(P42:P45)</f>
        <v>480000000</v>
      </c>
      <c r="Q46" s="280">
        <f>SUM(Q42:Q45)</f>
        <v>760800000</v>
      </c>
      <c r="R46" s="851">
        <f>SUM(R42:R45)</f>
        <v>0</v>
      </c>
      <c r="S46" s="279">
        <f t="shared" si="0"/>
        <v>-760800000</v>
      </c>
    </row>
    <row r="47" spans="1:19" ht="27" customHeight="1">
      <c r="A47" s="476">
        <v>2720</v>
      </c>
      <c r="B47" s="280" t="s">
        <v>502</v>
      </c>
      <c r="C47" s="291"/>
      <c r="D47" s="292"/>
      <c r="E47" s="292"/>
      <c r="F47" s="292"/>
      <c r="G47" s="292"/>
      <c r="H47" s="292"/>
      <c r="I47" s="292"/>
      <c r="J47" s="292"/>
      <c r="K47" s="291"/>
      <c r="L47" s="291"/>
      <c r="M47" s="280"/>
      <c r="N47" s="280"/>
      <c r="O47" s="280"/>
      <c r="P47" s="280"/>
      <c r="Q47" s="280"/>
      <c r="R47" s="851"/>
      <c r="S47" s="274">
        <f t="shared" si="0"/>
        <v>0</v>
      </c>
    </row>
    <row r="48" spans="1:19" ht="27" customHeight="1">
      <c r="A48" s="392">
        <v>27202</v>
      </c>
      <c r="B48" s="246" t="s">
        <v>1053</v>
      </c>
      <c r="C48" s="291"/>
      <c r="D48" s="292"/>
      <c r="E48" s="292"/>
      <c r="F48" s="292"/>
      <c r="G48" s="292"/>
      <c r="H48" s="292"/>
      <c r="I48" s="292"/>
      <c r="J48" s="292"/>
      <c r="K48" s="291"/>
      <c r="L48" s="291"/>
      <c r="M48" s="280"/>
      <c r="N48" s="280"/>
      <c r="O48" s="280"/>
      <c r="P48" s="246">
        <v>528000000</v>
      </c>
      <c r="Q48" s="246">
        <f>P48</f>
        <v>528000000</v>
      </c>
      <c r="R48" s="840">
        <v>0</v>
      </c>
      <c r="S48" s="274">
        <f t="shared" si="0"/>
        <v>-528000000</v>
      </c>
    </row>
    <row r="49" spans="1:19" ht="27" customHeight="1">
      <c r="A49" s="392"/>
      <c r="B49" s="280" t="s">
        <v>92</v>
      </c>
      <c r="C49" s="291"/>
      <c r="D49" s="292"/>
      <c r="E49" s="292"/>
      <c r="F49" s="292"/>
      <c r="G49" s="292"/>
      <c r="H49" s="292"/>
      <c r="I49" s="292"/>
      <c r="J49" s="292"/>
      <c r="K49" s="291"/>
      <c r="L49" s="291"/>
      <c r="M49" s="280"/>
      <c r="N49" s="280"/>
      <c r="O49" s="280"/>
      <c r="P49" s="280">
        <f>SUM(P48)</f>
        <v>528000000</v>
      </c>
      <c r="Q49" s="280">
        <f>SUM(Q48)</f>
        <v>528000000</v>
      </c>
      <c r="R49" s="851">
        <f>SUM(R48)</f>
        <v>0</v>
      </c>
      <c r="S49" s="279">
        <f t="shared" si="0"/>
        <v>-528000000</v>
      </c>
    </row>
    <row r="50" spans="1:19" ht="27" customHeight="1">
      <c r="A50" s="392"/>
      <c r="B50" s="280" t="s">
        <v>37</v>
      </c>
      <c r="C50" s="279">
        <f>C46+C39+C34+C28+C14</f>
        <v>4243360800</v>
      </c>
      <c r="D50" s="292"/>
      <c r="E50" s="292"/>
      <c r="F50" s="292"/>
      <c r="G50" s="292"/>
      <c r="H50" s="292"/>
      <c r="I50" s="292"/>
      <c r="J50" s="292"/>
      <c r="K50" s="279">
        <f>K46+K39+K34+K28+K14</f>
        <v>4243360800</v>
      </c>
      <c r="L50" s="279">
        <f>L46+L39+L34+L28+L14</f>
        <v>5250228560</v>
      </c>
      <c r="M50" s="280">
        <f>M46+M39+M34+M28+M14</f>
        <v>7403204200</v>
      </c>
      <c r="N50" s="280">
        <f>N46+N39+N34+N28+N14</f>
        <v>8490853800</v>
      </c>
      <c r="O50" s="280">
        <f>O46+O39+O34+O28+O14</f>
        <v>10486434440</v>
      </c>
      <c r="P50" s="280">
        <f>P49+P46+P39+P34+P28+P14</f>
        <v>11291614600</v>
      </c>
      <c r="Q50" s="280">
        <f>Q9+Q28+Q34+Q39+Q46+Q49</f>
        <v>16725781920</v>
      </c>
      <c r="R50" s="851">
        <f>R49+R46+R39+R34+R28+R14+R9</f>
        <v>18684686112</v>
      </c>
      <c r="S50" s="279">
        <f t="shared" si="0"/>
        <v>1958904192</v>
      </c>
    </row>
  </sheetData>
  <pageMargins left="0.52" right="0.3" top="0.94" bottom="0.69" header="0.35" footer="0.3"/>
  <pageSetup scale="50" orientation="portrait" r:id="rId1"/>
  <headerFooter>
    <oddHeader>&amp;C&amp;"Algerian,Bold"&amp;36MAXKAMAdDA HOOSE</oddHeader>
    <oddFooter>&amp;R&amp;"Times New Roman,Bold"&amp;18 &amp;14 17</oddFooter>
  </headerFooter>
  <ignoredErrors>
    <ignoredError sqref="K4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view="pageBreakPreview" topLeftCell="A31" zoomScale="60" zoomScaleNormal="75" zoomScalePageLayoutView="70" workbookViewId="0">
      <selection activeCell="T49" sqref="T49"/>
    </sheetView>
  </sheetViews>
  <sheetFormatPr defaultRowHeight="23.1" customHeight="1"/>
  <cols>
    <col min="1" max="1" width="18.1640625" style="565" bestFit="1" customWidth="1"/>
    <col min="2" max="2" width="78.33203125" style="399" customWidth="1"/>
    <col min="3" max="10" width="9.33203125" style="399" hidden="1" customWidth="1"/>
    <col min="11" max="11" width="18.33203125" style="399" hidden="1" customWidth="1"/>
    <col min="12" max="12" width="17.1640625" style="399" hidden="1" customWidth="1"/>
    <col min="13" max="13" width="24.5" style="399" hidden="1" customWidth="1"/>
    <col min="14" max="14" width="27.6640625" style="399" hidden="1" customWidth="1"/>
    <col min="15" max="15" width="0.1640625" style="399" hidden="1" customWidth="1"/>
    <col min="16" max="16" width="27.6640625" style="399" hidden="1" customWidth="1"/>
    <col min="17" max="17" width="27.5" style="399" hidden="1" customWidth="1"/>
    <col min="18" max="18" width="0.1640625" style="399" hidden="1" customWidth="1"/>
    <col min="19" max="20" width="27.5" style="399" customWidth="1"/>
    <col min="21" max="21" width="28.83203125" style="399" bestFit="1" customWidth="1"/>
    <col min="22" max="16384" width="9.33203125" style="399"/>
  </cols>
  <sheetData>
    <row r="1" spans="1:21" ht="23.1" customHeight="1">
      <c r="A1" s="544" t="s">
        <v>66</v>
      </c>
      <c r="B1" s="545" t="s">
        <v>996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292"/>
      <c r="O1" s="292"/>
      <c r="P1" s="292"/>
      <c r="Q1" s="292"/>
      <c r="R1" s="718"/>
      <c r="S1" s="292"/>
      <c r="T1" s="721"/>
      <c r="U1" s="719"/>
    </row>
    <row r="2" spans="1:21" ht="23.1" customHeight="1">
      <c r="A2" s="544" t="s">
        <v>25</v>
      </c>
      <c r="B2" s="478" t="s">
        <v>26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101</v>
      </c>
      <c r="J2" s="482" t="s">
        <v>107</v>
      </c>
      <c r="K2" s="482" t="s">
        <v>118</v>
      </c>
      <c r="L2" s="482" t="s">
        <v>151</v>
      </c>
      <c r="M2" s="482" t="s">
        <v>257</v>
      </c>
      <c r="N2" s="482" t="s">
        <v>440</v>
      </c>
      <c r="O2" s="482" t="s">
        <v>806</v>
      </c>
      <c r="P2" s="482" t="s">
        <v>872</v>
      </c>
      <c r="Q2" s="482" t="s">
        <v>973</v>
      </c>
      <c r="R2" s="718"/>
      <c r="S2" s="482" t="s">
        <v>1160</v>
      </c>
      <c r="T2" s="482" t="s">
        <v>1320</v>
      </c>
      <c r="U2" s="720" t="s">
        <v>56</v>
      </c>
    </row>
    <row r="3" spans="1:21" ht="23.1" customHeight="1">
      <c r="A3" s="476">
        <v>210</v>
      </c>
      <c r="B3" s="280" t="s">
        <v>137</v>
      </c>
      <c r="C3" s="478" t="s">
        <v>38</v>
      </c>
      <c r="D3" s="482" t="s">
        <v>2</v>
      </c>
      <c r="E3" s="482" t="s">
        <v>43</v>
      </c>
      <c r="F3" s="482" t="s">
        <v>46</v>
      </c>
      <c r="G3" s="482" t="s">
        <v>55</v>
      </c>
      <c r="H3" s="482" t="s">
        <v>291</v>
      </c>
      <c r="I3" s="482"/>
      <c r="J3" s="482"/>
      <c r="K3" s="482"/>
      <c r="L3" s="482"/>
      <c r="M3" s="292"/>
      <c r="N3" s="292"/>
      <c r="O3" s="292"/>
      <c r="P3" s="292"/>
      <c r="Q3" s="292"/>
      <c r="R3" s="718"/>
      <c r="S3" s="292"/>
      <c r="T3" s="292"/>
      <c r="U3" s="721"/>
    </row>
    <row r="4" spans="1:21" ht="23.1" customHeight="1">
      <c r="A4" s="476">
        <v>2110</v>
      </c>
      <c r="B4" s="280" t="s">
        <v>213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46"/>
      <c r="N4" s="246"/>
      <c r="O4" s="246"/>
      <c r="P4" s="246"/>
      <c r="Q4" s="246"/>
      <c r="R4" s="718"/>
      <c r="S4" s="246"/>
      <c r="T4" s="246"/>
      <c r="U4" s="721"/>
    </row>
    <row r="5" spans="1:21" ht="23.1" customHeight="1">
      <c r="A5" s="392">
        <v>21101</v>
      </c>
      <c r="B5" s="246" t="s">
        <v>28</v>
      </c>
      <c r="C5" s="246">
        <v>52881000</v>
      </c>
      <c r="D5" s="246">
        <v>78528000</v>
      </c>
      <c r="E5" s="246">
        <v>97212000</v>
      </c>
      <c r="F5" s="246">
        <v>76320000</v>
      </c>
      <c r="G5" s="246">
        <f>85872000-3192000</f>
        <v>82680000</v>
      </c>
      <c r="H5" s="246"/>
      <c r="I5" s="246"/>
      <c r="J5" s="246"/>
      <c r="K5" s="246"/>
      <c r="L5" s="246">
        <v>0</v>
      </c>
      <c r="M5" s="246">
        <f>shaqaalaha2011!H17</f>
        <v>109948800</v>
      </c>
      <c r="N5" s="246">
        <v>109948800</v>
      </c>
      <c r="O5" s="246">
        <v>280550400</v>
      </c>
      <c r="P5" s="246">
        <v>348865920</v>
      </c>
      <c r="Q5" s="246">
        <v>398136960</v>
      </c>
      <c r="R5" s="718"/>
      <c r="S5" s="246">
        <v>436962240</v>
      </c>
      <c r="T5" s="246">
        <v>546305760</v>
      </c>
      <c r="U5" s="722">
        <f>T5-S5</f>
        <v>109343520</v>
      </c>
    </row>
    <row r="6" spans="1:21" ht="23.1" customHeight="1">
      <c r="A6" s="392">
        <v>21102</v>
      </c>
      <c r="B6" s="246" t="s">
        <v>584</v>
      </c>
      <c r="C6" s="246">
        <v>980000</v>
      </c>
      <c r="D6" s="246">
        <v>0</v>
      </c>
      <c r="E6" s="246">
        <v>0</v>
      </c>
      <c r="F6" s="246">
        <v>0</v>
      </c>
      <c r="G6" s="246">
        <v>0</v>
      </c>
      <c r="H6" s="246">
        <v>121039200</v>
      </c>
      <c r="I6" s="246"/>
      <c r="J6" s="246"/>
      <c r="K6" s="246"/>
      <c r="L6" s="246">
        <v>121039200</v>
      </c>
      <c r="M6" s="246">
        <v>0</v>
      </c>
      <c r="N6" s="246">
        <v>819000000</v>
      </c>
      <c r="O6" s="246">
        <v>819000000</v>
      </c>
      <c r="P6" s="246">
        <v>1008000000</v>
      </c>
      <c r="Q6" s="246">
        <v>1008000000</v>
      </c>
      <c r="R6" s="718"/>
      <c r="S6" s="246">
        <v>1008000000</v>
      </c>
      <c r="T6" s="246">
        <v>1008000000</v>
      </c>
      <c r="U6" s="722">
        <f t="shared" ref="U6:U49" si="0">T6-S6</f>
        <v>0</v>
      </c>
    </row>
    <row r="7" spans="1:21" ht="23.1" customHeight="1">
      <c r="A7" s="392">
        <v>21103</v>
      </c>
      <c r="B7" s="246" t="s">
        <v>808</v>
      </c>
      <c r="C7" s="246">
        <v>10800000</v>
      </c>
      <c r="D7" s="246">
        <v>13944000</v>
      </c>
      <c r="E7" s="246">
        <v>17688000</v>
      </c>
      <c r="F7" s="246">
        <v>17688000</v>
      </c>
      <c r="G7" s="246">
        <v>21288000</v>
      </c>
      <c r="H7" s="246"/>
      <c r="I7" s="246"/>
      <c r="J7" s="246"/>
      <c r="K7" s="246"/>
      <c r="L7" s="246">
        <v>0</v>
      </c>
      <c r="M7" s="246">
        <v>10800000</v>
      </c>
      <c r="N7" s="246">
        <v>32400000</v>
      </c>
      <c r="O7" s="246">
        <v>32400000</v>
      </c>
      <c r="P7" s="246">
        <v>108000000</v>
      </c>
      <c r="Q7" s="246">
        <v>144000000</v>
      </c>
      <c r="R7" s="718"/>
      <c r="S7" s="246">
        <v>144000000</v>
      </c>
      <c r="T7" s="840">
        <v>144000000</v>
      </c>
      <c r="U7" s="722">
        <f t="shared" si="0"/>
        <v>0</v>
      </c>
    </row>
    <row r="8" spans="1:21" ht="23.1" customHeight="1">
      <c r="A8" s="392">
        <v>21105</v>
      </c>
      <c r="B8" s="246" t="s">
        <v>526</v>
      </c>
      <c r="C8" s="246"/>
      <c r="D8" s="246"/>
      <c r="E8" s="246"/>
      <c r="F8" s="246"/>
      <c r="G8" s="246"/>
      <c r="H8" s="246"/>
      <c r="I8" s="246"/>
      <c r="J8" s="246"/>
      <c r="K8" s="246"/>
      <c r="L8" s="246">
        <v>0</v>
      </c>
      <c r="M8" s="246">
        <v>37440000</v>
      </c>
      <c r="N8" s="246"/>
      <c r="O8" s="246"/>
      <c r="P8" s="246"/>
      <c r="Q8" s="246">
        <v>30000000</v>
      </c>
      <c r="R8" s="718"/>
      <c r="S8" s="282">
        <v>723600000</v>
      </c>
      <c r="T8" s="852">
        <v>793200000</v>
      </c>
      <c r="U8" s="722">
        <f t="shared" si="0"/>
        <v>69600000</v>
      </c>
    </row>
    <row r="9" spans="1:21" ht="23.1" customHeight="1">
      <c r="A9" s="476">
        <v>2120</v>
      </c>
      <c r="B9" s="280" t="s">
        <v>218</v>
      </c>
      <c r="C9" s="246"/>
      <c r="D9" s="246"/>
      <c r="E9" s="246"/>
      <c r="F9" s="246"/>
      <c r="G9" s="246"/>
      <c r="H9" s="246"/>
      <c r="I9" s="246"/>
      <c r="J9" s="246"/>
      <c r="K9" s="246"/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718"/>
      <c r="S9" s="246">
        <v>0</v>
      </c>
      <c r="T9" s="840">
        <v>0</v>
      </c>
      <c r="U9" s="722">
        <f t="shared" si="0"/>
        <v>0</v>
      </c>
    </row>
    <row r="10" spans="1:21" ht="23.1" customHeight="1">
      <c r="A10" s="392">
        <v>21203</v>
      </c>
      <c r="B10" s="246" t="s">
        <v>223</v>
      </c>
      <c r="C10" s="246">
        <v>11700000</v>
      </c>
      <c r="D10" s="246">
        <v>15000000</v>
      </c>
      <c r="E10" s="246">
        <v>15000000</v>
      </c>
      <c r="F10" s="246">
        <v>15000000</v>
      </c>
      <c r="G10" s="246">
        <v>14400000</v>
      </c>
      <c r="H10" s="246"/>
      <c r="I10" s="246"/>
      <c r="J10" s="246"/>
      <c r="K10" s="246"/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718"/>
      <c r="S10" s="246">
        <v>0</v>
      </c>
      <c r="T10" s="840">
        <v>0</v>
      </c>
      <c r="U10" s="722">
        <f t="shared" si="0"/>
        <v>0</v>
      </c>
    </row>
    <row r="11" spans="1:21" ht="23.1" customHeight="1">
      <c r="A11" s="392"/>
      <c r="B11" s="280" t="s">
        <v>92</v>
      </c>
      <c r="C11" s="246">
        <v>5000000</v>
      </c>
      <c r="D11" s="246">
        <v>2000000</v>
      </c>
      <c r="E11" s="246">
        <v>2000000</v>
      </c>
      <c r="F11" s="246">
        <v>6000000</v>
      </c>
      <c r="G11" s="246">
        <v>4800000</v>
      </c>
      <c r="H11" s="280">
        <f>SUM(H6:H10)</f>
        <v>121039200</v>
      </c>
      <c r="I11" s="246"/>
      <c r="J11" s="246"/>
      <c r="K11" s="246"/>
      <c r="L11" s="280">
        <f>SUM(L6:L10)</f>
        <v>121039200</v>
      </c>
      <c r="M11" s="280">
        <f>SUM(M5:M10)</f>
        <v>158188800</v>
      </c>
      <c r="N11" s="280">
        <f>SUM(N5:N10)</f>
        <v>961348800</v>
      </c>
      <c r="O11" s="280">
        <f>SUM(O5:O10)</f>
        <v>1131950400</v>
      </c>
      <c r="P11" s="280">
        <f>SUM(P5:P10)</f>
        <v>1464865920</v>
      </c>
      <c r="Q11" s="280">
        <f>SUM(Q5:Q10)</f>
        <v>1580136960</v>
      </c>
      <c r="R11" s="718"/>
      <c r="S11" s="280">
        <f>SUM(S5:S10)</f>
        <v>2312562240</v>
      </c>
      <c r="T11" s="851">
        <f>SUM(T5:T10)</f>
        <v>2491505760</v>
      </c>
      <c r="U11" s="838">
        <f t="shared" si="0"/>
        <v>178943520</v>
      </c>
    </row>
    <row r="12" spans="1:21" ht="23.1" customHeight="1">
      <c r="A12" s="476">
        <v>220</v>
      </c>
      <c r="B12" s="280" t="s">
        <v>225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/>
      <c r="I12" s="280"/>
      <c r="J12" s="280"/>
      <c r="K12" s="280"/>
      <c r="L12" s="246"/>
      <c r="M12" s="246"/>
      <c r="N12" s="246"/>
      <c r="O12" s="246"/>
      <c r="P12" s="246"/>
      <c r="Q12" s="246"/>
      <c r="R12" s="718"/>
      <c r="S12" s="246"/>
      <c r="T12" s="840"/>
      <c r="U12" s="722">
        <f t="shared" si="0"/>
        <v>0</v>
      </c>
    </row>
    <row r="13" spans="1:21" ht="23.1" customHeight="1">
      <c r="A13" s="476">
        <v>2210</v>
      </c>
      <c r="B13" s="280" t="s">
        <v>226</v>
      </c>
      <c r="C13" s="280">
        <f>SUM(C10:C12)</f>
        <v>16700000</v>
      </c>
      <c r="D13" s="280">
        <f>SUM(D10:D12)</f>
        <v>17000000</v>
      </c>
      <c r="E13" s="280">
        <f>SUM(E10:E12)</f>
        <v>17000000</v>
      </c>
      <c r="F13" s="280">
        <f>SUM(F10:F12)</f>
        <v>21000000</v>
      </c>
      <c r="G13" s="280">
        <f>SUM(G10:G12)</f>
        <v>19200000</v>
      </c>
      <c r="H13" s="280"/>
      <c r="I13" s="246"/>
      <c r="J13" s="246"/>
      <c r="K13" s="246"/>
      <c r="L13" s="280"/>
      <c r="M13" s="280"/>
      <c r="N13" s="280"/>
      <c r="O13" s="280"/>
      <c r="P13" s="280"/>
      <c r="Q13" s="280"/>
      <c r="R13" s="718"/>
      <c r="S13" s="280"/>
      <c r="T13" s="851"/>
      <c r="U13" s="722">
        <f t="shared" si="0"/>
        <v>0</v>
      </c>
    </row>
    <row r="14" spans="1:21" ht="23.1" customHeight="1">
      <c r="A14" s="392">
        <v>22101</v>
      </c>
      <c r="B14" s="246" t="s">
        <v>33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>
        <v>0</v>
      </c>
      <c r="M14" s="246">
        <v>0</v>
      </c>
      <c r="N14" s="246">
        <v>20000000</v>
      </c>
      <c r="O14" s="246">
        <v>20000000</v>
      </c>
      <c r="P14" s="246">
        <v>30000000</v>
      </c>
      <c r="Q14" s="246">
        <v>30000000</v>
      </c>
      <c r="R14" s="718"/>
      <c r="S14" s="246">
        <v>30000000</v>
      </c>
      <c r="T14" s="840">
        <v>30000000</v>
      </c>
      <c r="U14" s="722">
        <f t="shared" si="0"/>
        <v>0</v>
      </c>
    </row>
    <row r="15" spans="1:21" ht="23.1" customHeight="1">
      <c r="A15" s="392">
        <v>22102</v>
      </c>
      <c r="B15" s="246" t="s">
        <v>124</v>
      </c>
      <c r="C15" s="246">
        <v>24200000</v>
      </c>
      <c r="D15" s="246">
        <v>5065120</v>
      </c>
      <c r="E15" s="246">
        <v>0</v>
      </c>
      <c r="F15" s="246">
        <v>0</v>
      </c>
      <c r="G15" s="246">
        <v>0</v>
      </c>
      <c r="H15" s="246"/>
      <c r="I15" s="280"/>
      <c r="J15" s="280"/>
      <c r="K15" s="280"/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718"/>
      <c r="S15" s="246">
        <v>0</v>
      </c>
      <c r="T15" s="840">
        <v>0</v>
      </c>
      <c r="U15" s="722">
        <f t="shared" si="0"/>
        <v>0</v>
      </c>
    </row>
    <row r="16" spans="1:21" ht="23.1" customHeight="1">
      <c r="A16" s="392">
        <v>22103</v>
      </c>
      <c r="B16" s="246" t="s">
        <v>125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246"/>
      <c r="I16" s="246"/>
      <c r="J16" s="246"/>
      <c r="K16" s="246"/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718"/>
      <c r="S16" s="246">
        <v>0</v>
      </c>
      <c r="T16" s="840">
        <v>0</v>
      </c>
      <c r="U16" s="722">
        <f t="shared" si="0"/>
        <v>0</v>
      </c>
    </row>
    <row r="17" spans="1:21" ht="23.1" customHeight="1">
      <c r="A17" s="392">
        <v>22104</v>
      </c>
      <c r="B17" s="246" t="s">
        <v>157</v>
      </c>
      <c r="C17" s="246"/>
      <c r="D17" s="246"/>
      <c r="E17" s="246"/>
      <c r="F17" s="246"/>
      <c r="G17" s="246"/>
      <c r="H17" s="246">
        <v>20000000</v>
      </c>
      <c r="I17" s="246"/>
      <c r="J17" s="246"/>
      <c r="K17" s="246"/>
      <c r="L17" s="246">
        <v>20000000</v>
      </c>
      <c r="M17" s="246">
        <f>20000000*70%</f>
        <v>14000000</v>
      </c>
      <c r="N17" s="246">
        <f>20000000*70%</f>
        <v>14000000</v>
      </c>
      <c r="O17" s="246">
        <v>20000000</v>
      </c>
      <c r="P17" s="246">
        <v>50000000</v>
      </c>
      <c r="Q17" s="246">
        <v>50000000</v>
      </c>
      <c r="R17" s="718"/>
      <c r="S17" s="246">
        <v>50000000</v>
      </c>
      <c r="T17" s="840">
        <v>50000000</v>
      </c>
      <c r="U17" s="722">
        <f t="shared" si="0"/>
        <v>0</v>
      </c>
    </row>
    <row r="18" spans="1:21" ht="23.1" customHeight="1">
      <c r="A18" s="392">
        <v>22105</v>
      </c>
      <c r="B18" s="246" t="s">
        <v>483</v>
      </c>
      <c r="C18" s="246">
        <v>3000000</v>
      </c>
      <c r="D18" s="246">
        <v>2000000</v>
      </c>
      <c r="E18" s="246">
        <v>2000000</v>
      </c>
      <c r="F18" s="246">
        <v>2000000</v>
      </c>
      <c r="G18" s="246">
        <v>3200000</v>
      </c>
      <c r="H18" s="246"/>
      <c r="I18" s="246"/>
      <c r="J18" s="246"/>
      <c r="K18" s="246"/>
      <c r="L18" s="246">
        <v>0</v>
      </c>
      <c r="M18" s="246">
        <v>0</v>
      </c>
      <c r="N18" s="246">
        <v>64800000</v>
      </c>
      <c r="O18" s="246">
        <v>64800000</v>
      </c>
      <c r="P18" s="246">
        <v>64800000</v>
      </c>
      <c r="Q18" s="246">
        <v>90000000</v>
      </c>
      <c r="R18" s="718"/>
      <c r="S18" s="246">
        <v>90000000</v>
      </c>
      <c r="T18" s="840">
        <v>90000000</v>
      </c>
      <c r="U18" s="722">
        <f t="shared" si="0"/>
        <v>0</v>
      </c>
    </row>
    <row r="19" spans="1:21" ht="23.1" customHeight="1">
      <c r="A19" s="392">
        <v>22106</v>
      </c>
      <c r="B19" s="246" t="s">
        <v>1264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>
        <v>0</v>
      </c>
      <c r="R19" s="718"/>
      <c r="S19" s="246">
        <v>14000000</v>
      </c>
      <c r="T19" s="840">
        <v>14000000</v>
      </c>
      <c r="U19" s="722">
        <f t="shared" si="0"/>
        <v>0</v>
      </c>
    </row>
    <row r="20" spans="1:21" ht="23.1" customHeight="1">
      <c r="A20" s="392">
        <v>22107</v>
      </c>
      <c r="B20" s="246" t="s">
        <v>854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>
        <v>0</v>
      </c>
      <c r="O20" s="246">
        <v>20000000</v>
      </c>
      <c r="P20" s="246">
        <v>40000000</v>
      </c>
      <c r="Q20" s="246">
        <v>40000000</v>
      </c>
      <c r="R20" s="718"/>
      <c r="S20" s="246">
        <v>40000000</v>
      </c>
      <c r="T20" s="840">
        <v>40000000</v>
      </c>
      <c r="U20" s="722">
        <f t="shared" si="0"/>
        <v>0</v>
      </c>
    </row>
    <row r="21" spans="1:21" ht="23.1" customHeight="1">
      <c r="A21" s="392">
        <v>22108</v>
      </c>
      <c r="B21" s="246" t="s">
        <v>981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>
        <v>3600000</v>
      </c>
      <c r="P21" s="246">
        <v>7200000</v>
      </c>
      <c r="Q21" s="246">
        <v>7200000</v>
      </c>
      <c r="R21" s="718"/>
      <c r="S21" s="246">
        <v>7200000</v>
      </c>
      <c r="T21" s="840">
        <v>7200000</v>
      </c>
      <c r="U21" s="722">
        <f t="shared" si="0"/>
        <v>0</v>
      </c>
    </row>
    <row r="22" spans="1:21" ht="23.1" customHeight="1">
      <c r="A22" s="392">
        <v>22109</v>
      </c>
      <c r="B22" s="246" t="s">
        <v>1054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>
        <v>20000000</v>
      </c>
      <c r="R22" s="718"/>
      <c r="S22" s="246">
        <v>20000000</v>
      </c>
      <c r="T22" s="840">
        <v>20000000</v>
      </c>
      <c r="U22" s="722">
        <f t="shared" si="0"/>
        <v>0</v>
      </c>
    </row>
    <row r="23" spans="1:21" ht="23.1" customHeight="1">
      <c r="A23" s="392">
        <v>22112</v>
      </c>
      <c r="B23" s="246" t="s">
        <v>154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>
        <v>5000000</v>
      </c>
      <c r="M23" s="246">
        <f>5000000*70%</f>
        <v>3500000</v>
      </c>
      <c r="N23" s="246">
        <v>7000000</v>
      </c>
      <c r="O23" s="246">
        <v>7000000</v>
      </c>
      <c r="P23" s="246">
        <v>17000000</v>
      </c>
      <c r="Q23" s="246">
        <v>17000000</v>
      </c>
      <c r="R23" s="718"/>
      <c r="S23" s="246">
        <v>17000000</v>
      </c>
      <c r="T23" s="840">
        <v>17000000</v>
      </c>
      <c r="U23" s="722">
        <f t="shared" si="0"/>
        <v>0</v>
      </c>
    </row>
    <row r="24" spans="1:21" ht="23.1" customHeight="1">
      <c r="A24" s="392">
        <v>22125</v>
      </c>
      <c r="B24" s="246" t="s">
        <v>915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>
        <v>0</v>
      </c>
      <c r="P24" s="246">
        <v>50000000</v>
      </c>
      <c r="Q24" s="246">
        <v>50000000</v>
      </c>
      <c r="R24" s="718"/>
      <c r="S24" s="246">
        <v>50000000</v>
      </c>
      <c r="T24" s="840">
        <v>50000000</v>
      </c>
      <c r="U24" s="722">
        <f t="shared" si="0"/>
        <v>0</v>
      </c>
    </row>
    <row r="25" spans="1:21" ht="23.1" customHeight="1">
      <c r="A25" s="392">
        <v>22137</v>
      </c>
      <c r="B25" s="246" t="s">
        <v>986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>
        <v>0</v>
      </c>
      <c r="Q25" s="246">
        <v>60000000</v>
      </c>
      <c r="R25" s="718"/>
      <c r="S25" s="246">
        <v>0</v>
      </c>
      <c r="T25" s="840">
        <v>0</v>
      </c>
      <c r="U25" s="722">
        <f t="shared" si="0"/>
        <v>0</v>
      </c>
    </row>
    <row r="26" spans="1:21" ht="23.1" customHeight="1">
      <c r="A26" s="392"/>
      <c r="B26" s="280" t="s">
        <v>92</v>
      </c>
      <c r="C26" s="246">
        <v>10000000</v>
      </c>
      <c r="D26" s="246">
        <v>0</v>
      </c>
      <c r="E26" s="246">
        <v>0</v>
      </c>
      <c r="F26" s="246">
        <v>0</v>
      </c>
      <c r="G26" s="246">
        <v>0</v>
      </c>
      <c r="H26" s="280">
        <f>SUM(H17:H18)</f>
        <v>20000000</v>
      </c>
      <c r="I26" s="292"/>
      <c r="J26" s="292"/>
      <c r="K26" s="292"/>
      <c r="L26" s="280">
        <f>SUM(L14:L23)</f>
        <v>25000000</v>
      </c>
      <c r="M26" s="280">
        <f>SUM(M14:M23)</f>
        <v>17500000</v>
      </c>
      <c r="N26" s="280">
        <f>SUM(N14:N23)</f>
        <v>105800000</v>
      </c>
      <c r="O26" s="280">
        <f>SUM(O14:O24)</f>
        <v>135400000</v>
      </c>
      <c r="P26" s="280">
        <f>SUM(P14:P24)</f>
        <v>259000000</v>
      </c>
      <c r="Q26" s="280">
        <f>SUM(Q14:Q25)</f>
        <v>364200000</v>
      </c>
      <c r="R26" s="718"/>
      <c r="S26" s="280">
        <f>SUM(S14:S25)</f>
        <v>318200000</v>
      </c>
      <c r="T26" s="851">
        <f>SUM(T14:T25)</f>
        <v>318200000</v>
      </c>
      <c r="U26" s="722">
        <f t="shared" si="0"/>
        <v>0</v>
      </c>
    </row>
    <row r="27" spans="1:21" ht="23.1" customHeight="1">
      <c r="A27" s="476">
        <v>2220</v>
      </c>
      <c r="B27" s="280" t="s">
        <v>240</v>
      </c>
      <c r="C27" s="246">
        <v>0</v>
      </c>
      <c r="D27" s="246">
        <v>0</v>
      </c>
      <c r="E27" s="246">
        <v>3418500</v>
      </c>
      <c r="F27" s="246">
        <v>27430292</v>
      </c>
      <c r="G27" s="246">
        <v>0</v>
      </c>
      <c r="H27" s="246"/>
      <c r="I27" s="292"/>
      <c r="J27" s="292"/>
      <c r="K27" s="292"/>
      <c r="L27" s="246"/>
      <c r="M27" s="246"/>
      <c r="N27" s="246"/>
      <c r="O27" s="246"/>
      <c r="P27" s="246"/>
      <c r="Q27" s="246"/>
      <c r="R27" s="718"/>
      <c r="S27" s="246"/>
      <c r="T27" s="840"/>
      <c r="U27" s="722">
        <f t="shared" si="0"/>
        <v>0</v>
      </c>
    </row>
    <row r="28" spans="1:21" ht="23.1" customHeight="1">
      <c r="A28" s="392">
        <v>22201</v>
      </c>
      <c r="B28" s="246" t="s">
        <v>132</v>
      </c>
      <c r="C28" s="246"/>
      <c r="D28" s="246"/>
      <c r="E28" s="246"/>
      <c r="F28" s="246"/>
      <c r="G28" s="246"/>
      <c r="H28" s="246"/>
      <c r="I28" s="292"/>
      <c r="J28" s="292"/>
      <c r="K28" s="292"/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718"/>
      <c r="S28" s="246">
        <v>0</v>
      </c>
      <c r="T28" s="840">
        <v>0</v>
      </c>
      <c r="U28" s="722">
        <f t="shared" si="0"/>
        <v>0</v>
      </c>
    </row>
    <row r="29" spans="1:21" ht="23.1" customHeight="1">
      <c r="A29" s="392">
        <v>22202</v>
      </c>
      <c r="B29" s="246" t="s">
        <v>133</v>
      </c>
      <c r="C29" s="280" t="e">
        <f>#REF!+#REF!+#REF!+C13+#REF!</f>
        <v>#REF!</v>
      </c>
      <c r="D29" s="280" t="e">
        <f>#REF!+#REF!+#REF!+D13+#REF!</f>
        <v>#REF!</v>
      </c>
      <c r="E29" s="280" t="e">
        <f>#REF!+#REF!+#REF!+E13+#REF!</f>
        <v>#REF!</v>
      </c>
      <c r="F29" s="280" t="e">
        <f>#REF!+#REF!+#REF!+F13+#REF!</f>
        <v>#REF!</v>
      </c>
      <c r="G29" s="280" t="e">
        <f>#REF!+#REF!+#REF!+G13+#REF!</f>
        <v>#REF!</v>
      </c>
      <c r="H29" s="246">
        <v>60000000</v>
      </c>
      <c r="I29" s="292"/>
      <c r="J29" s="292"/>
      <c r="K29" s="292"/>
      <c r="L29" s="246">
        <v>60000000</v>
      </c>
      <c r="M29" s="246">
        <f>60000000*70%</f>
        <v>42000000</v>
      </c>
      <c r="N29" s="246">
        <v>59600000</v>
      </c>
      <c r="O29" s="246">
        <v>79600000</v>
      </c>
      <c r="P29" s="246">
        <v>109600000</v>
      </c>
      <c r="Q29" s="246">
        <v>129600000</v>
      </c>
      <c r="R29" s="718"/>
      <c r="S29" s="246">
        <v>129600000</v>
      </c>
      <c r="T29" s="840">
        <v>150600000</v>
      </c>
      <c r="U29" s="722">
        <f t="shared" si="0"/>
        <v>21000000</v>
      </c>
    </row>
    <row r="30" spans="1:21" ht="23.1" customHeight="1">
      <c r="A30" s="392">
        <v>22203</v>
      </c>
      <c r="B30" s="246" t="s">
        <v>127</v>
      </c>
      <c r="C30" s="292"/>
      <c r="D30" s="292"/>
      <c r="E30" s="292"/>
      <c r="F30" s="274" t="e">
        <f>SUM(F26:F29)</f>
        <v>#REF!</v>
      </c>
      <c r="G30" s="274"/>
      <c r="H30" s="274">
        <v>18000000</v>
      </c>
      <c r="I30" s="292"/>
      <c r="J30" s="292"/>
      <c r="K30" s="292"/>
      <c r="L30" s="274">
        <v>18000000</v>
      </c>
      <c r="M30" s="274">
        <f>18000000*70%</f>
        <v>12600000</v>
      </c>
      <c r="N30" s="274">
        <v>15000000</v>
      </c>
      <c r="O30" s="274">
        <v>15000000</v>
      </c>
      <c r="P30" s="274">
        <v>15000000</v>
      </c>
      <c r="Q30" s="274">
        <v>20000000</v>
      </c>
      <c r="R30" s="718"/>
      <c r="S30" s="274">
        <v>20000000</v>
      </c>
      <c r="T30" s="853">
        <v>20000000</v>
      </c>
      <c r="U30" s="722">
        <f t="shared" si="0"/>
        <v>0</v>
      </c>
    </row>
    <row r="31" spans="1:21" ht="23.1" customHeight="1">
      <c r="A31" s="392">
        <v>22204</v>
      </c>
      <c r="B31" s="246" t="s">
        <v>128</v>
      </c>
      <c r="C31" s="292"/>
      <c r="D31" s="292"/>
      <c r="E31" s="292"/>
      <c r="F31" s="274" t="e">
        <f>F29-F30</f>
        <v>#REF!</v>
      </c>
      <c r="G31" s="274"/>
      <c r="H31" s="274">
        <v>5000000</v>
      </c>
      <c r="I31" s="292"/>
      <c r="J31" s="292"/>
      <c r="K31" s="292"/>
      <c r="L31" s="274">
        <v>5000000</v>
      </c>
      <c r="M31" s="274">
        <f>5000000*70%</f>
        <v>3500000</v>
      </c>
      <c r="N31" s="274">
        <f>5000000*70%</f>
        <v>3500000</v>
      </c>
      <c r="O31" s="274">
        <f>5000000*70%</f>
        <v>3500000</v>
      </c>
      <c r="P31" s="274">
        <v>7000000</v>
      </c>
      <c r="Q31" s="274">
        <v>14000000</v>
      </c>
      <c r="R31" s="718"/>
      <c r="S31" s="274">
        <v>14000000</v>
      </c>
      <c r="T31" s="853">
        <v>14000000</v>
      </c>
      <c r="U31" s="722">
        <f t="shared" si="0"/>
        <v>0</v>
      </c>
    </row>
    <row r="32" spans="1:21" ht="23.1" customHeight="1">
      <c r="A32" s="392">
        <v>22208</v>
      </c>
      <c r="B32" s="246" t="s">
        <v>815</v>
      </c>
      <c r="C32" s="292"/>
      <c r="D32" s="292"/>
      <c r="E32" s="292"/>
      <c r="F32" s="274"/>
      <c r="G32" s="274"/>
      <c r="H32" s="274"/>
      <c r="I32" s="292"/>
      <c r="J32" s="292"/>
      <c r="K32" s="292"/>
      <c r="L32" s="274"/>
      <c r="M32" s="274"/>
      <c r="N32" s="274"/>
      <c r="O32" s="274"/>
      <c r="P32" s="274"/>
      <c r="Q32" s="274"/>
      <c r="R32" s="718"/>
      <c r="S32" s="274"/>
      <c r="T32" s="853"/>
      <c r="U32" s="722">
        <f t="shared" si="0"/>
        <v>0</v>
      </c>
    </row>
    <row r="33" spans="1:21" ht="23.1" customHeight="1">
      <c r="A33" s="392"/>
      <c r="B33" s="280" t="s">
        <v>92</v>
      </c>
      <c r="C33" s="292"/>
      <c r="D33" s="292"/>
      <c r="E33" s="292"/>
      <c r="F33" s="292"/>
      <c r="G33" s="292"/>
      <c r="H33" s="279">
        <f>SUM(H29:H31)</f>
        <v>83000000</v>
      </c>
      <c r="I33" s="292"/>
      <c r="J33" s="292"/>
      <c r="K33" s="292"/>
      <c r="L33" s="279">
        <f>SUM(L29:L31)</f>
        <v>83000000</v>
      </c>
      <c r="M33" s="279">
        <f>SUM(M29:M31)</f>
        <v>58100000</v>
      </c>
      <c r="N33" s="279">
        <f>SUM(N29:N31)</f>
        <v>78100000</v>
      </c>
      <c r="O33" s="279">
        <f>SUM(O28:O31)</f>
        <v>98100000</v>
      </c>
      <c r="P33" s="279">
        <f>SUM(P28:P31)</f>
        <v>131600000</v>
      </c>
      <c r="Q33" s="279">
        <f>SUM(Q28:Q32)</f>
        <v>163600000</v>
      </c>
      <c r="R33" s="279">
        <f t="shared" ref="R33" si="1">SUM(R28:R32)</f>
        <v>0</v>
      </c>
      <c r="S33" s="279">
        <f>SUM(S28:S32)</f>
        <v>163600000</v>
      </c>
      <c r="T33" s="850">
        <f>SUM(T28:T32)</f>
        <v>184600000</v>
      </c>
      <c r="U33" s="838">
        <f t="shared" si="0"/>
        <v>21000000</v>
      </c>
    </row>
    <row r="34" spans="1:21" ht="23.1" customHeight="1">
      <c r="A34" s="476">
        <v>2230</v>
      </c>
      <c r="B34" s="280" t="s">
        <v>130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718"/>
      <c r="S34" s="292"/>
      <c r="T34" s="867"/>
      <c r="U34" s="722">
        <f t="shared" si="0"/>
        <v>0</v>
      </c>
    </row>
    <row r="35" spans="1:21" ht="23.1" customHeight="1">
      <c r="A35" s="392">
        <v>22301</v>
      </c>
      <c r="B35" s="246" t="s">
        <v>49</v>
      </c>
      <c r="C35" s="292"/>
      <c r="D35" s="292"/>
      <c r="E35" s="292"/>
      <c r="F35" s="292"/>
      <c r="G35" s="292"/>
      <c r="H35" s="290">
        <v>6200800</v>
      </c>
      <c r="I35" s="292"/>
      <c r="J35" s="292"/>
      <c r="K35" s="292"/>
      <c r="L35" s="290">
        <v>6200800</v>
      </c>
      <c r="M35" s="290">
        <f>6200800*70%</f>
        <v>4340560</v>
      </c>
      <c r="N35" s="290">
        <v>15000000</v>
      </c>
      <c r="O35" s="290">
        <v>25000000</v>
      </c>
      <c r="P35" s="290">
        <v>25000000</v>
      </c>
      <c r="Q35" s="290">
        <v>50000000</v>
      </c>
      <c r="R35" s="718"/>
      <c r="S35" s="290">
        <v>50000000</v>
      </c>
      <c r="T35" s="858">
        <v>70000000</v>
      </c>
      <c r="U35" s="722">
        <f t="shared" si="0"/>
        <v>20000000</v>
      </c>
    </row>
    <row r="36" spans="1:21" ht="23.1" customHeight="1">
      <c r="A36" s="392">
        <v>22302</v>
      </c>
      <c r="B36" s="246" t="s">
        <v>249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>
        <v>0</v>
      </c>
      <c r="M36" s="292">
        <v>0</v>
      </c>
      <c r="N36" s="293">
        <v>0</v>
      </c>
      <c r="O36" s="293">
        <v>0</v>
      </c>
      <c r="P36" s="293">
        <v>0</v>
      </c>
      <c r="Q36" s="293">
        <v>0</v>
      </c>
      <c r="R36" s="718"/>
      <c r="S36" s="293">
        <v>0</v>
      </c>
      <c r="T36" s="868">
        <v>0</v>
      </c>
      <c r="U36" s="722">
        <f t="shared" si="0"/>
        <v>0</v>
      </c>
    </row>
    <row r="37" spans="1:21" ht="23.1" customHeight="1">
      <c r="A37" s="392">
        <v>22313</v>
      </c>
      <c r="B37" s="246" t="s">
        <v>251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>
        <v>0</v>
      </c>
      <c r="M37" s="292">
        <v>0</v>
      </c>
      <c r="N37" s="293">
        <v>0</v>
      </c>
      <c r="O37" s="293">
        <v>0</v>
      </c>
      <c r="P37" s="293">
        <v>0</v>
      </c>
      <c r="Q37" s="293">
        <v>0</v>
      </c>
      <c r="R37" s="718"/>
      <c r="S37" s="293">
        <v>0</v>
      </c>
      <c r="T37" s="868">
        <v>0</v>
      </c>
      <c r="U37" s="722">
        <f t="shared" si="0"/>
        <v>0</v>
      </c>
    </row>
    <row r="38" spans="1:21" ht="23.1" customHeight="1">
      <c r="A38" s="392"/>
      <c r="B38" s="280" t="s">
        <v>92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1">
        <f t="shared" ref="L38:P38" si="2">SUM(L35:L37)</f>
        <v>6200800</v>
      </c>
      <c r="M38" s="291">
        <f t="shared" si="2"/>
        <v>4340560</v>
      </c>
      <c r="N38" s="291">
        <f t="shared" si="2"/>
        <v>15000000</v>
      </c>
      <c r="O38" s="291">
        <f t="shared" si="2"/>
        <v>25000000</v>
      </c>
      <c r="P38" s="291">
        <f t="shared" si="2"/>
        <v>25000000</v>
      </c>
      <c r="Q38" s="291">
        <f>SUM(Q35:Q37)</f>
        <v>50000000</v>
      </c>
      <c r="R38" s="718"/>
      <c r="S38" s="291">
        <f>SUM(S35:S37)</f>
        <v>50000000</v>
      </c>
      <c r="T38" s="860">
        <f>SUM(T35:T37)</f>
        <v>70000000</v>
      </c>
      <c r="U38" s="838">
        <f t="shared" si="0"/>
        <v>20000000</v>
      </c>
    </row>
    <row r="39" spans="1:21" ht="23.1" customHeight="1">
      <c r="A39" s="476">
        <v>2710</v>
      </c>
      <c r="B39" s="280" t="s">
        <v>479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1"/>
      <c r="M39" s="291"/>
      <c r="N39" s="291"/>
      <c r="O39" s="291"/>
      <c r="P39" s="291"/>
      <c r="Q39" s="291"/>
      <c r="R39" s="718"/>
      <c r="S39" s="291"/>
      <c r="T39" s="860"/>
      <c r="U39" s="722">
        <f t="shared" si="0"/>
        <v>0</v>
      </c>
    </row>
    <row r="40" spans="1:21" ht="23.1" customHeight="1">
      <c r="A40" s="392">
        <v>27601</v>
      </c>
      <c r="B40" s="246" t="s">
        <v>480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1"/>
      <c r="M40" s="291"/>
      <c r="N40" s="290">
        <v>18000000</v>
      </c>
      <c r="O40" s="293">
        <v>0</v>
      </c>
      <c r="P40" s="246">
        <v>30000000</v>
      </c>
      <c r="Q40" s="246">
        <v>15000000</v>
      </c>
      <c r="R40" s="718"/>
      <c r="S40" s="246">
        <v>0</v>
      </c>
      <c r="T40" s="840">
        <v>0</v>
      </c>
      <c r="U40" s="722">
        <f t="shared" si="0"/>
        <v>0</v>
      </c>
    </row>
    <row r="41" spans="1:21" ht="23.1" customHeight="1">
      <c r="A41" s="392">
        <v>27402</v>
      </c>
      <c r="B41" s="246" t="s">
        <v>581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1"/>
      <c r="M41" s="291">
        <v>0</v>
      </c>
      <c r="N41" s="290">
        <v>39000000</v>
      </c>
      <c r="O41" s="246">
        <v>150000000</v>
      </c>
      <c r="P41" s="246">
        <v>66000000</v>
      </c>
      <c r="Q41" s="246">
        <v>0</v>
      </c>
      <c r="R41" s="718"/>
      <c r="S41" s="246">
        <v>0</v>
      </c>
      <c r="T41" s="840">
        <v>0</v>
      </c>
      <c r="U41" s="722">
        <f t="shared" si="0"/>
        <v>0</v>
      </c>
    </row>
    <row r="42" spans="1:21" ht="23.1" customHeight="1">
      <c r="A42" s="476"/>
      <c r="B42" s="280" t="s">
        <v>92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1"/>
      <c r="M42" s="291"/>
      <c r="N42" s="291">
        <f>SUM(N40:N41)</f>
        <v>57000000</v>
      </c>
      <c r="O42" s="280">
        <f>SUM(O40:O41)</f>
        <v>150000000</v>
      </c>
      <c r="P42" s="280">
        <f>SUM(P40:P41)</f>
        <v>96000000</v>
      </c>
      <c r="Q42" s="280">
        <f>SUM(Q40:Q41)</f>
        <v>15000000</v>
      </c>
      <c r="R42" s="718"/>
      <c r="S42" s="280">
        <f>SUM(S40:S41)</f>
        <v>0</v>
      </c>
      <c r="T42" s="851">
        <f>SUM(T40:T41)</f>
        <v>0</v>
      </c>
      <c r="U42" s="722">
        <f t="shared" si="0"/>
        <v>0</v>
      </c>
    </row>
    <row r="43" spans="1:21" ht="23.1" customHeight="1">
      <c r="A43" s="476">
        <v>2720</v>
      </c>
      <c r="B43" s="280" t="s">
        <v>1096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1"/>
      <c r="M43" s="291"/>
      <c r="N43" s="291"/>
      <c r="O43" s="280"/>
      <c r="P43" s="280"/>
      <c r="Q43" s="280"/>
      <c r="R43" s="718"/>
      <c r="S43" s="280"/>
      <c r="T43" s="851"/>
      <c r="U43" s="722">
        <f t="shared" si="0"/>
        <v>0</v>
      </c>
    </row>
    <row r="44" spans="1:21" s="675" customFormat="1" ht="23.1" customHeight="1">
      <c r="A44" s="392">
        <v>27202</v>
      </c>
      <c r="B44" s="246" t="s">
        <v>1201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0"/>
      <c r="M44" s="290"/>
      <c r="N44" s="290"/>
      <c r="O44" s="246"/>
      <c r="P44" s="246"/>
      <c r="Q44" s="246"/>
      <c r="R44" s="746"/>
      <c r="S44" s="246">
        <v>1750000000</v>
      </c>
      <c r="T44" s="840">
        <v>0</v>
      </c>
      <c r="U44" s="722">
        <f t="shared" si="0"/>
        <v>-1750000000</v>
      </c>
    </row>
    <row r="45" spans="1:21" ht="23.1" customHeight="1">
      <c r="A45" s="476"/>
      <c r="B45" s="280" t="s">
        <v>92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1"/>
      <c r="M45" s="291"/>
      <c r="N45" s="291"/>
      <c r="O45" s="280"/>
      <c r="P45" s="280"/>
      <c r="Q45" s="280"/>
      <c r="R45" s="718"/>
      <c r="S45" s="280">
        <f>SUM(S44)</f>
        <v>1750000000</v>
      </c>
      <c r="T45" s="851">
        <f>SUM(T44)</f>
        <v>0</v>
      </c>
      <c r="U45" s="838">
        <f t="shared" si="0"/>
        <v>-1750000000</v>
      </c>
    </row>
    <row r="46" spans="1:21" ht="23.1" customHeight="1">
      <c r="A46" s="476">
        <v>2810</v>
      </c>
      <c r="B46" s="280" t="s">
        <v>1242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1"/>
      <c r="M46" s="291"/>
      <c r="N46" s="291"/>
      <c r="O46" s="280"/>
      <c r="P46" s="280"/>
      <c r="Q46" s="280"/>
      <c r="R46" s="718"/>
      <c r="S46" s="280"/>
      <c r="T46" s="851"/>
      <c r="U46" s="722">
        <f t="shared" si="0"/>
        <v>0</v>
      </c>
    </row>
    <row r="47" spans="1:21" ht="23.1" customHeight="1">
      <c r="A47" s="392">
        <v>28102</v>
      </c>
      <c r="B47" s="246" t="s">
        <v>559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1"/>
      <c r="M47" s="291"/>
      <c r="N47" s="291"/>
      <c r="O47" s="280"/>
      <c r="P47" s="280"/>
      <c r="Q47" s="246">
        <v>51000000</v>
      </c>
      <c r="R47" s="718"/>
      <c r="S47" s="280">
        <v>0</v>
      </c>
      <c r="T47" s="851">
        <v>0</v>
      </c>
      <c r="U47" s="722">
        <f t="shared" si="0"/>
        <v>0</v>
      </c>
    </row>
    <row r="48" spans="1:21" ht="23.1" customHeight="1">
      <c r="A48" s="476"/>
      <c r="B48" s="280" t="s">
        <v>92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1"/>
      <c r="M48" s="291"/>
      <c r="N48" s="291"/>
      <c r="O48" s="280"/>
      <c r="P48" s="280"/>
      <c r="Q48" s="280">
        <f>SUM(Q47)</f>
        <v>51000000</v>
      </c>
      <c r="R48" s="280">
        <f t="shared" ref="R48:S48" si="3">SUM(R47)</f>
        <v>0</v>
      </c>
      <c r="S48" s="280">
        <f t="shared" si="3"/>
        <v>0</v>
      </c>
      <c r="T48" s="851">
        <f t="shared" ref="T48" si="4">SUM(T47)</f>
        <v>0</v>
      </c>
      <c r="U48" s="722">
        <f t="shared" si="0"/>
        <v>0</v>
      </c>
    </row>
    <row r="49" spans="1:21" ht="23.1" customHeight="1">
      <c r="A49" s="392"/>
      <c r="B49" s="280" t="s">
        <v>37</v>
      </c>
      <c r="C49" s="292"/>
      <c r="D49" s="292"/>
      <c r="E49" s="292"/>
      <c r="F49" s="292"/>
      <c r="G49" s="292"/>
      <c r="H49" s="279" t="e">
        <f>#REF!+H33+H26+H11</f>
        <v>#REF!</v>
      </c>
      <c r="I49" s="292"/>
      <c r="J49" s="292"/>
      <c r="K49" s="292"/>
      <c r="L49" s="279">
        <f>L38+L33+L26+L11+L8</f>
        <v>235240000</v>
      </c>
      <c r="M49" s="279">
        <f>M38+M33+M26+M11</f>
        <v>238129360</v>
      </c>
      <c r="N49" s="279">
        <f>N42+N38+N33+N26+N11</f>
        <v>1217248800</v>
      </c>
      <c r="O49" s="279">
        <f>O42+O38+O33+O26+O11</f>
        <v>1540450400</v>
      </c>
      <c r="P49" s="279">
        <f>P42+P38+P33+P26+P11</f>
        <v>1976465920</v>
      </c>
      <c r="Q49" s="279">
        <f>Q42+Q38+Q33+Q26+Q11+Q48</f>
        <v>2223936960</v>
      </c>
      <c r="R49" s="718"/>
      <c r="S49" s="279">
        <f>S42+S38+S33+S26+S11+S45+S48</f>
        <v>4594362240</v>
      </c>
      <c r="T49" s="850">
        <f>T42+T38+T33+T26+T11+T45+T48</f>
        <v>3064305760</v>
      </c>
      <c r="U49" s="838">
        <f t="shared" si="0"/>
        <v>-1530056480</v>
      </c>
    </row>
  </sheetData>
  <phoneticPr fontId="41" type="noConversion"/>
  <pageMargins left="0.45" right="0.26" top="0.98" bottom="0.81" header="0.31" footer="0.31"/>
  <pageSetup scale="58" orientation="portrait" r:id="rId1"/>
  <headerFooter alignWithMargins="0">
    <oddHeader>&amp;C&amp;"Algerian,Bold"&amp;36GUDIdA XUQUUQAL INSAANKA QARANKA</oddHeader>
    <oddFooter>&amp;R&amp;"Times New Roman,Bold"&amp;14 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topLeftCell="A19" zoomScale="60" workbookViewId="0">
      <selection activeCell="T37" sqref="T37"/>
    </sheetView>
  </sheetViews>
  <sheetFormatPr defaultRowHeight="27" customHeight="1"/>
  <cols>
    <col min="1" max="1" width="18.1640625" style="565" bestFit="1" customWidth="1"/>
    <col min="2" max="2" width="73.6640625" style="399" customWidth="1"/>
    <col min="3" max="7" width="9.33203125" style="399" hidden="1" customWidth="1"/>
    <col min="8" max="8" width="0.1640625" style="399" hidden="1" customWidth="1"/>
    <col min="9" max="9" width="9.33203125" style="399" hidden="1" customWidth="1"/>
    <col min="10" max="10" width="4.1640625" style="399" hidden="1" customWidth="1"/>
    <col min="11" max="11" width="19.1640625" style="399" hidden="1" customWidth="1"/>
    <col min="12" max="12" width="19.83203125" style="399" hidden="1" customWidth="1"/>
    <col min="13" max="13" width="22" style="399" hidden="1" customWidth="1"/>
    <col min="14" max="14" width="22.33203125" style="399" hidden="1" customWidth="1"/>
    <col min="15" max="16" width="24.33203125" style="399" hidden="1" customWidth="1"/>
    <col min="17" max="18" width="23.6640625" style="399" hidden="1" customWidth="1"/>
    <col min="19" max="19" width="27.5" style="399" bestFit="1" customWidth="1"/>
    <col min="20" max="20" width="27.5" style="399" customWidth="1"/>
    <col min="21" max="21" width="27.6640625" style="399" customWidth="1"/>
    <col min="22" max="16384" width="9.33203125" style="399"/>
  </cols>
  <sheetData>
    <row r="1" spans="1:21" ht="27" customHeight="1">
      <c r="A1" s="706" t="s">
        <v>40</v>
      </c>
      <c r="B1" s="545" t="s">
        <v>997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292"/>
      <c r="P1" s="292"/>
      <c r="Q1" s="292"/>
      <c r="R1" s="292"/>
      <c r="S1" s="292"/>
      <c r="T1" s="292"/>
      <c r="U1" s="491"/>
    </row>
    <row r="2" spans="1:21" ht="27" customHeight="1">
      <c r="A2" s="706" t="s">
        <v>25</v>
      </c>
      <c r="B2" s="545" t="s">
        <v>26</v>
      </c>
      <c r="C2" s="482" t="s">
        <v>38</v>
      </c>
      <c r="D2" s="482" t="s">
        <v>2</v>
      </c>
      <c r="E2" s="482" t="s">
        <v>43</v>
      </c>
      <c r="F2" s="482" t="s">
        <v>46</v>
      </c>
      <c r="G2" s="482" t="s">
        <v>46</v>
      </c>
      <c r="H2" s="482" t="s">
        <v>55</v>
      </c>
      <c r="I2" s="482" t="s">
        <v>62</v>
      </c>
      <c r="J2" s="482" t="s">
        <v>103</v>
      </c>
      <c r="K2" s="482" t="s">
        <v>107</v>
      </c>
      <c r="L2" s="482" t="s">
        <v>116</v>
      </c>
      <c r="M2" s="482" t="s">
        <v>151</v>
      </c>
      <c r="N2" s="482" t="s">
        <v>257</v>
      </c>
      <c r="O2" s="482" t="s">
        <v>440</v>
      </c>
      <c r="P2" s="482" t="s">
        <v>806</v>
      </c>
      <c r="Q2" s="482" t="s">
        <v>872</v>
      </c>
      <c r="R2" s="482" t="s">
        <v>973</v>
      </c>
      <c r="S2" s="482" t="s">
        <v>1160</v>
      </c>
      <c r="T2" s="482" t="s">
        <v>1320</v>
      </c>
      <c r="U2" s="286" t="s">
        <v>56</v>
      </c>
    </row>
    <row r="3" spans="1:21" ht="27" customHeight="1">
      <c r="A3" s="476">
        <v>210</v>
      </c>
      <c r="B3" s="280" t="s">
        <v>137</v>
      </c>
      <c r="C3" s="292"/>
      <c r="D3" s="292"/>
      <c r="E3" s="292"/>
      <c r="F3" s="292"/>
      <c r="G3" s="292" t="s">
        <v>4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27" customHeight="1">
      <c r="A4" s="476">
        <v>2110</v>
      </c>
      <c r="B4" s="280" t="s">
        <v>213</v>
      </c>
      <c r="C4" s="246">
        <v>14053000</v>
      </c>
      <c r="D4" s="246">
        <v>18828000</v>
      </c>
      <c r="E4" s="246">
        <v>23040000</v>
      </c>
      <c r="F4" s="246">
        <v>22740000</v>
      </c>
      <c r="G4" s="246">
        <v>0</v>
      </c>
      <c r="H4" s="246">
        <f>36948000+3192000</f>
        <v>40140000</v>
      </c>
      <c r="I4" s="246">
        <v>489600000</v>
      </c>
      <c r="J4" s="246">
        <v>636480000</v>
      </c>
      <c r="K4" s="246">
        <v>0</v>
      </c>
      <c r="L4" s="246">
        <f>9235200+1872000+4149600</f>
        <v>15256800</v>
      </c>
      <c r="M4" s="246"/>
      <c r="N4" s="274"/>
      <c r="O4" s="274"/>
      <c r="P4" s="274"/>
      <c r="Q4" s="274"/>
      <c r="R4" s="274"/>
      <c r="S4" s="274"/>
      <c r="T4" s="274"/>
      <c r="U4" s="292"/>
    </row>
    <row r="5" spans="1:21" ht="27" customHeight="1">
      <c r="A5" s="392">
        <v>21101</v>
      </c>
      <c r="B5" s="246" t="s">
        <v>28</v>
      </c>
      <c r="C5" s="246">
        <v>363600</v>
      </c>
      <c r="D5" s="246">
        <v>0</v>
      </c>
      <c r="E5" s="246">
        <v>0</v>
      </c>
      <c r="F5" s="246">
        <v>0</v>
      </c>
      <c r="G5" s="246">
        <v>0</v>
      </c>
      <c r="H5" s="246">
        <v>6780000</v>
      </c>
      <c r="I5" s="246">
        <v>0</v>
      </c>
      <c r="J5" s="246">
        <v>0</v>
      </c>
      <c r="K5" s="246">
        <v>0</v>
      </c>
      <c r="L5" s="246">
        <v>0</v>
      </c>
      <c r="M5" s="246">
        <v>15256800</v>
      </c>
      <c r="N5" s="246">
        <f>shaqaalaha2011!H18</f>
        <v>93100800</v>
      </c>
      <c r="O5" s="246">
        <v>90448800</v>
      </c>
      <c r="P5" s="246">
        <v>38781600</v>
      </c>
      <c r="Q5" s="246">
        <v>46537920</v>
      </c>
      <c r="R5" s="246">
        <v>58780800</v>
      </c>
      <c r="S5" s="246">
        <v>61027200</v>
      </c>
      <c r="T5" s="246">
        <v>209791296</v>
      </c>
      <c r="U5" s="274">
        <f>T5-S5</f>
        <v>148764096</v>
      </c>
    </row>
    <row r="6" spans="1:21" ht="27" customHeight="1">
      <c r="A6" s="392">
        <v>21102</v>
      </c>
      <c r="B6" s="246" t="s">
        <v>29</v>
      </c>
      <c r="C6" s="246">
        <v>6120000</v>
      </c>
      <c r="D6" s="246">
        <v>39600000</v>
      </c>
      <c r="E6" s="246">
        <v>39600000</v>
      </c>
      <c r="F6" s="246">
        <v>48000000</v>
      </c>
      <c r="G6" s="246">
        <v>0</v>
      </c>
      <c r="H6" s="246">
        <v>28800000</v>
      </c>
      <c r="I6" s="246">
        <v>122556000</v>
      </c>
      <c r="J6" s="246">
        <v>227072000</v>
      </c>
      <c r="K6" s="246">
        <v>0</v>
      </c>
      <c r="L6" s="246">
        <f>160800000+1128000+3600000</f>
        <v>165528000</v>
      </c>
      <c r="M6" s="246">
        <v>0</v>
      </c>
      <c r="N6" s="246">
        <v>0</v>
      </c>
      <c r="O6" s="246">
        <v>126000000</v>
      </c>
      <c r="P6" s="246">
        <v>126000000</v>
      </c>
      <c r="Q6" s="246">
        <v>276000000</v>
      </c>
      <c r="R6" s="246">
        <v>276000000</v>
      </c>
      <c r="S6" s="246">
        <v>276000000</v>
      </c>
      <c r="T6" s="246">
        <v>276000000</v>
      </c>
      <c r="U6" s="274">
        <f t="shared" ref="U6:U37" si="0">T6-S6</f>
        <v>0</v>
      </c>
    </row>
    <row r="7" spans="1:21" ht="27" customHeight="1">
      <c r="A7" s="392">
        <v>21103</v>
      </c>
      <c r="B7" s="246" t="s">
        <v>808</v>
      </c>
      <c r="C7" s="246">
        <f t="shared" ref="C7:J7" si="1">SUM(C4:C6)</f>
        <v>20536600</v>
      </c>
      <c r="D7" s="246">
        <f t="shared" si="1"/>
        <v>58428000</v>
      </c>
      <c r="E7" s="246">
        <f t="shared" si="1"/>
        <v>62640000</v>
      </c>
      <c r="F7" s="246">
        <f t="shared" si="1"/>
        <v>70740000</v>
      </c>
      <c r="G7" s="246">
        <f t="shared" si="1"/>
        <v>0</v>
      </c>
      <c r="H7" s="246">
        <f t="shared" si="1"/>
        <v>75720000</v>
      </c>
      <c r="I7" s="280">
        <f t="shared" si="1"/>
        <v>612156000</v>
      </c>
      <c r="J7" s="280">
        <f t="shared" si="1"/>
        <v>863552000</v>
      </c>
      <c r="K7" s="280">
        <v>0</v>
      </c>
      <c r="L7" s="246">
        <v>0</v>
      </c>
      <c r="M7" s="246">
        <v>165528000</v>
      </c>
      <c r="N7" s="246">
        <v>165528000</v>
      </c>
      <c r="O7" s="246">
        <v>82800000</v>
      </c>
      <c r="P7" s="246">
        <v>82800000</v>
      </c>
      <c r="Q7" s="246">
        <v>180000000</v>
      </c>
      <c r="R7" s="246">
        <v>180000000</v>
      </c>
      <c r="S7" s="246">
        <v>180000000</v>
      </c>
      <c r="T7" s="840">
        <v>180000000</v>
      </c>
      <c r="U7" s="274">
        <f t="shared" si="0"/>
        <v>0</v>
      </c>
    </row>
    <row r="8" spans="1:21" ht="27" customHeight="1">
      <c r="A8" s="392">
        <v>21105</v>
      </c>
      <c r="B8" s="246" t="s">
        <v>526</v>
      </c>
      <c r="C8" s="246"/>
      <c r="D8" s="246"/>
      <c r="E8" s="246"/>
      <c r="F8" s="246"/>
      <c r="G8" s="246"/>
      <c r="H8" s="246"/>
      <c r="I8" s="280"/>
      <c r="J8" s="280"/>
      <c r="K8" s="280"/>
      <c r="L8" s="246"/>
      <c r="M8" s="246"/>
      <c r="N8" s="246"/>
      <c r="O8" s="246"/>
      <c r="P8" s="246">
        <v>0</v>
      </c>
      <c r="Q8" s="246">
        <v>0</v>
      </c>
      <c r="R8" s="246">
        <v>0</v>
      </c>
      <c r="S8" s="246">
        <v>0</v>
      </c>
      <c r="T8" s="840">
        <v>247200000</v>
      </c>
      <c r="U8" s="274">
        <f t="shared" si="0"/>
        <v>247200000</v>
      </c>
    </row>
    <row r="9" spans="1:21" ht="27" customHeight="1">
      <c r="A9" s="476">
        <v>2120</v>
      </c>
      <c r="B9" s="280" t="s">
        <v>218</v>
      </c>
      <c r="C9" s="246">
        <v>7576740</v>
      </c>
      <c r="D9" s="246">
        <v>6576534</v>
      </c>
      <c r="E9" s="246">
        <v>6576534</v>
      </c>
      <c r="F9" s="246">
        <v>11000000</v>
      </c>
      <c r="G9" s="246">
        <v>0</v>
      </c>
      <c r="H9" s="246">
        <v>45560000</v>
      </c>
      <c r="I9" s="246">
        <v>68336000</v>
      </c>
      <c r="J9" s="246">
        <v>68336000</v>
      </c>
      <c r="K9" s="246">
        <v>0</v>
      </c>
      <c r="L9" s="280">
        <f>SUM(L4:L7)</f>
        <v>180784800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840">
        <v>0</v>
      </c>
      <c r="U9" s="274">
        <f t="shared" si="0"/>
        <v>0</v>
      </c>
    </row>
    <row r="10" spans="1:21" ht="27" customHeight="1">
      <c r="A10" s="392"/>
      <c r="B10" s="280" t="s">
        <v>92</v>
      </c>
      <c r="C10" s="246">
        <f t="shared" ref="C10:J10" si="2">SUM(C9:C9)</f>
        <v>7576740</v>
      </c>
      <c r="D10" s="246">
        <f t="shared" si="2"/>
        <v>6576534</v>
      </c>
      <c r="E10" s="246">
        <f t="shared" si="2"/>
        <v>6576534</v>
      </c>
      <c r="F10" s="246">
        <f t="shared" si="2"/>
        <v>11000000</v>
      </c>
      <c r="G10" s="246">
        <f t="shared" si="2"/>
        <v>0</v>
      </c>
      <c r="H10" s="246">
        <f t="shared" si="2"/>
        <v>45560000</v>
      </c>
      <c r="I10" s="280">
        <f t="shared" si="2"/>
        <v>68336000</v>
      </c>
      <c r="J10" s="280">
        <f t="shared" si="2"/>
        <v>68336000</v>
      </c>
      <c r="K10" s="280">
        <v>0</v>
      </c>
      <c r="L10" s="246">
        <v>20000000</v>
      </c>
      <c r="M10" s="280">
        <f t="shared" ref="M10:Q10" si="3">SUM(M5:M9)</f>
        <v>180784800</v>
      </c>
      <c r="N10" s="280">
        <f t="shared" si="3"/>
        <v>258628800</v>
      </c>
      <c r="O10" s="280">
        <f t="shared" si="3"/>
        <v>299248800</v>
      </c>
      <c r="P10" s="280">
        <f t="shared" si="3"/>
        <v>247581600</v>
      </c>
      <c r="Q10" s="280">
        <f t="shared" si="3"/>
        <v>502537920</v>
      </c>
      <c r="R10" s="280">
        <f>SUM(R5:R9)</f>
        <v>514780800</v>
      </c>
      <c r="S10" s="280">
        <f>SUM(S5:S9)</f>
        <v>517027200</v>
      </c>
      <c r="T10" s="851">
        <f>SUM(T5:T9)</f>
        <v>912991296</v>
      </c>
      <c r="U10" s="279">
        <f t="shared" si="0"/>
        <v>395964096</v>
      </c>
    </row>
    <row r="11" spans="1:21" ht="27" customHeight="1">
      <c r="A11" s="476">
        <v>220</v>
      </c>
      <c r="B11" s="280" t="s">
        <v>225</v>
      </c>
      <c r="C11" s="246"/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/>
      <c r="N11" s="246"/>
      <c r="O11" s="246"/>
      <c r="P11" s="246"/>
      <c r="Q11" s="246"/>
      <c r="R11" s="246"/>
      <c r="S11" s="246"/>
      <c r="T11" s="840"/>
      <c r="U11" s="274">
        <f t="shared" si="0"/>
        <v>0</v>
      </c>
    </row>
    <row r="12" spans="1:21" ht="27" customHeight="1">
      <c r="A12" s="476">
        <v>2210</v>
      </c>
      <c r="B12" s="280" t="s">
        <v>226</v>
      </c>
      <c r="C12" s="246"/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6000000</v>
      </c>
      <c r="M12" s="246"/>
      <c r="N12" s="246"/>
      <c r="O12" s="246"/>
      <c r="P12" s="246"/>
      <c r="Q12" s="246"/>
      <c r="R12" s="246"/>
      <c r="S12" s="246"/>
      <c r="T12" s="840"/>
      <c r="U12" s="274">
        <f t="shared" si="0"/>
        <v>0</v>
      </c>
    </row>
    <row r="13" spans="1:21" ht="27" customHeight="1">
      <c r="A13" s="392">
        <v>22101</v>
      </c>
      <c r="B13" s="246" t="s">
        <v>33</v>
      </c>
      <c r="C13" s="246" t="e">
        <f>SUM(#REF!)</f>
        <v>#REF!</v>
      </c>
      <c r="D13" s="246">
        <v>0</v>
      </c>
      <c r="E13" s="246">
        <f t="shared" ref="E13:J13" si="4">SUM(E11:E12)</f>
        <v>0</v>
      </c>
      <c r="F13" s="246">
        <f t="shared" si="4"/>
        <v>0</v>
      </c>
      <c r="G13" s="246">
        <f t="shared" si="4"/>
        <v>0</v>
      </c>
      <c r="H13" s="246">
        <f t="shared" si="4"/>
        <v>0</v>
      </c>
      <c r="I13" s="280">
        <f t="shared" si="4"/>
        <v>0</v>
      </c>
      <c r="J13" s="280">
        <f t="shared" si="4"/>
        <v>0</v>
      </c>
      <c r="K13" s="280">
        <v>0</v>
      </c>
      <c r="L13" s="280">
        <v>0</v>
      </c>
      <c r="M13" s="246">
        <v>20000000</v>
      </c>
      <c r="N13" s="246">
        <f>20000000*70%</f>
        <v>14000000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840">
        <v>0</v>
      </c>
      <c r="U13" s="274">
        <f t="shared" si="0"/>
        <v>0</v>
      </c>
    </row>
    <row r="14" spans="1:21" ht="27" customHeight="1">
      <c r="A14" s="392">
        <v>22104</v>
      </c>
      <c r="B14" s="246" t="s">
        <v>157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/>
      <c r="M14" s="246">
        <v>20000000</v>
      </c>
      <c r="N14" s="246">
        <f>20000000*70%</f>
        <v>14000000</v>
      </c>
      <c r="O14" s="246">
        <v>7000000</v>
      </c>
      <c r="P14" s="246">
        <v>9000000</v>
      </c>
      <c r="Q14" s="246">
        <v>19000000</v>
      </c>
      <c r="R14" s="246">
        <v>19000000</v>
      </c>
      <c r="S14" s="246">
        <v>19000000</v>
      </c>
      <c r="T14" s="840">
        <v>34000000</v>
      </c>
      <c r="U14" s="274">
        <f t="shared" si="0"/>
        <v>15000000</v>
      </c>
    </row>
    <row r="15" spans="1:21" ht="27" customHeight="1">
      <c r="A15" s="392">
        <v>22105</v>
      </c>
      <c r="B15" s="246" t="s">
        <v>135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2400000</v>
      </c>
      <c r="J15" s="246">
        <v>3000000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42000000</v>
      </c>
      <c r="R15" s="246">
        <v>42000000</v>
      </c>
      <c r="S15" s="246">
        <v>42000000</v>
      </c>
      <c r="T15" s="840">
        <v>42000000</v>
      </c>
      <c r="U15" s="274">
        <f t="shared" si="0"/>
        <v>0</v>
      </c>
    </row>
    <row r="16" spans="1:21" ht="27" customHeight="1">
      <c r="A16" s="392">
        <v>21109</v>
      </c>
      <c r="B16" s="246" t="s">
        <v>1338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840">
        <v>10000000</v>
      </c>
      <c r="U16" s="274">
        <f t="shared" si="0"/>
        <v>10000000</v>
      </c>
    </row>
    <row r="17" spans="1:21" ht="27" customHeight="1">
      <c r="A17" s="392">
        <v>22112</v>
      </c>
      <c r="B17" s="246" t="s">
        <v>35</v>
      </c>
      <c r="C17" s="246">
        <v>1746000</v>
      </c>
      <c r="D17" s="246">
        <v>1000000</v>
      </c>
      <c r="E17" s="246">
        <v>1000000</v>
      </c>
      <c r="F17" s="246">
        <v>2000000</v>
      </c>
      <c r="G17" s="246">
        <v>0</v>
      </c>
      <c r="H17" s="246">
        <v>5060000</v>
      </c>
      <c r="I17" s="246">
        <v>5000000</v>
      </c>
      <c r="J17" s="246">
        <v>5000000</v>
      </c>
      <c r="K17" s="246">
        <v>0</v>
      </c>
      <c r="L17" s="280">
        <f>SUM(L15:L15)</f>
        <v>0</v>
      </c>
      <c r="M17" s="246">
        <v>6000000</v>
      </c>
      <c r="N17" s="246">
        <f>6000000*70%</f>
        <v>4200000</v>
      </c>
      <c r="O17" s="246">
        <f>N17</f>
        <v>4200000</v>
      </c>
      <c r="P17" s="246">
        <f>O17</f>
        <v>4200000</v>
      </c>
      <c r="Q17" s="246">
        <f>P17</f>
        <v>4200000</v>
      </c>
      <c r="R17" s="246">
        <f>Q17</f>
        <v>4200000</v>
      </c>
      <c r="S17" s="246">
        <v>22200000</v>
      </c>
      <c r="T17" s="840">
        <v>22200000</v>
      </c>
      <c r="U17" s="274">
        <f t="shared" si="0"/>
        <v>0</v>
      </c>
    </row>
    <row r="18" spans="1:21" ht="27" customHeight="1">
      <c r="A18" s="392">
        <v>22132</v>
      </c>
      <c r="B18" s="246" t="s">
        <v>1337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80"/>
      <c r="M18" s="246"/>
      <c r="N18" s="246"/>
      <c r="O18" s="246"/>
      <c r="P18" s="246"/>
      <c r="Q18" s="246"/>
      <c r="R18" s="246"/>
      <c r="S18" s="246"/>
      <c r="T18" s="840">
        <v>900000000</v>
      </c>
      <c r="U18" s="274">
        <f t="shared" si="0"/>
        <v>900000000</v>
      </c>
    </row>
    <row r="19" spans="1:21" ht="27" customHeight="1">
      <c r="A19" s="392">
        <v>22137</v>
      </c>
      <c r="B19" s="246" t="s">
        <v>986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80"/>
      <c r="M19" s="246"/>
      <c r="N19" s="246"/>
      <c r="O19" s="246"/>
      <c r="P19" s="246"/>
      <c r="Q19" s="246"/>
      <c r="R19" s="246">
        <v>25000000</v>
      </c>
      <c r="S19" s="246">
        <v>61000000</v>
      </c>
      <c r="T19" s="840">
        <v>0</v>
      </c>
      <c r="U19" s="274">
        <f t="shared" si="0"/>
        <v>-61000000</v>
      </c>
    </row>
    <row r="20" spans="1:21" ht="27" customHeight="1">
      <c r="A20" s="392">
        <v>22163</v>
      </c>
      <c r="B20" s="246" t="s">
        <v>1032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80"/>
      <c r="M20" s="246"/>
      <c r="N20" s="246"/>
      <c r="O20" s="246"/>
      <c r="P20" s="246"/>
      <c r="Q20" s="246">
        <v>200000000</v>
      </c>
      <c r="R20" s="246">
        <v>200000000</v>
      </c>
      <c r="S20" s="246">
        <v>330000000</v>
      </c>
      <c r="T20" s="840">
        <v>790000000</v>
      </c>
      <c r="U20" s="274">
        <f t="shared" si="0"/>
        <v>460000000</v>
      </c>
    </row>
    <row r="21" spans="1:21" ht="27" customHeight="1">
      <c r="A21" s="392"/>
      <c r="B21" s="280" t="s">
        <v>92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79" t="e">
        <f>SUM(#REF!)</f>
        <v>#REF!</v>
      </c>
      <c r="M21" s="280">
        <f>SUM(M13:M17)</f>
        <v>46000000</v>
      </c>
      <c r="N21" s="280">
        <f>SUM(N13:N17)</f>
        <v>32200000</v>
      </c>
      <c r="O21" s="280">
        <f>SUM(O13:O17)</f>
        <v>11200000</v>
      </c>
      <c r="P21" s="280">
        <f>SUM(P13:P17)</f>
        <v>13200000</v>
      </c>
      <c r="Q21" s="280">
        <f>SUM(Q13:Q20)</f>
        <v>265200000</v>
      </c>
      <c r="R21" s="280">
        <f>SUM(R13:R20)</f>
        <v>290200000</v>
      </c>
      <c r="S21" s="280">
        <f>SUM(S13:S20)</f>
        <v>474200000</v>
      </c>
      <c r="T21" s="851">
        <f>SUM(T13:T20)</f>
        <v>1798200000</v>
      </c>
      <c r="U21" s="279">
        <f t="shared" si="0"/>
        <v>1324000000</v>
      </c>
    </row>
    <row r="22" spans="1:21" ht="27" customHeight="1">
      <c r="A22" s="476">
        <v>2220</v>
      </c>
      <c r="B22" s="280" t="s">
        <v>240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9" t="e">
        <f>L21+#REF!+L17+#REF!+L9</f>
        <v>#REF!</v>
      </c>
      <c r="M22" s="279"/>
      <c r="N22" s="279"/>
      <c r="O22" s="279"/>
      <c r="P22" s="279"/>
      <c r="Q22" s="279"/>
      <c r="R22" s="279"/>
      <c r="S22" s="279"/>
      <c r="T22" s="850"/>
      <c r="U22" s="274">
        <f t="shared" si="0"/>
        <v>0</v>
      </c>
    </row>
    <row r="23" spans="1:21" ht="27" customHeight="1">
      <c r="A23" s="392">
        <v>22201</v>
      </c>
      <c r="B23" s="246" t="s">
        <v>132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79"/>
      <c r="N23" s="279"/>
      <c r="O23" s="279"/>
      <c r="P23" s="279"/>
      <c r="Q23" s="279"/>
      <c r="R23" s="279"/>
      <c r="S23" s="279"/>
      <c r="T23" s="850"/>
      <c r="U23" s="274">
        <f t="shared" si="0"/>
        <v>0</v>
      </c>
    </row>
    <row r="24" spans="1:21" ht="27" customHeight="1">
      <c r="A24" s="392">
        <v>22202</v>
      </c>
      <c r="B24" s="246" t="s">
        <v>133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0">
        <v>40000000</v>
      </c>
      <c r="N24" s="290">
        <f>40000000*70%</f>
        <v>28000000</v>
      </c>
      <c r="O24" s="290">
        <f>N24*80%</f>
        <v>22400000</v>
      </c>
      <c r="P24" s="290">
        <v>22400000</v>
      </c>
      <c r="Q24" s="290">
        <v>42400000</v>
      </c>
      <c r="R24" s="290">
        <v>42400000</v>
      </c>
      <c r="S24" s="290">
        <v>62400000</v>
      </c>
      <c r="T24" s="858">
        <v>62400000</v>
      </c>
      <c r="U24" s="274">
        <f t="shared" si="0"/>
        <v>0</v>
      </c>
    </row>
    <row r="25" spans="1:21" ht="27" customHeight="1">
      <c r="A25" s="392">
        <v>22203</v>
      </c>
      <c r="B25" s="246" t="s">
        <v>127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0">
        <v>30000000</v>
      </c>
      <c r="N25" s="290">
        <f t="shared" ref="N25:T25" si="5">30000000*70%</f>
        <v>21000000</v>
      </c>
      <c r="O25" s="290">
        <f t="shared" si="5"/>
        <v>21000000</v>
      </c>
      <c r="P25" s="290">
        <f t="shared" si="5"/>
        <v>21000000</v>
      </c>
      <c r="Q25" s="290">
        <f t="shared" si="5"/>
        <v>21000000</v>
      </c>
      <c r="R25" s="290">
        <f t="shared" si="5"/>
        <v>21000000</v>
      </c>
      <c r="S25" s="290">
        <f t="shared" si="5"/>
        <v>21000000</v>
      </c>
      <c r="T25" s="858">
        <f t="shared" si="5"/>
        <v>21000000</v>
      </c>
      <c r="U25" s="274">
        <f t="shared" si="0"/>
        <v>0</v>
      </c>
    </row>
    <row r="26" spans="1:21" ht="27" customHeight="1">
      <c r="A26" s="392"/>
      <c r="B26" s="280" t="s">
        <v>92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1">
        <f t="shared" ref="M26:Q26" si="6">SUM(M24:M25)</f>
        <v>70000000</v>
      </c>
      <c r="N26" s="291">
        <f t="shared" si="6"/>
        <v>49000000</v>
      </c>
      <c r="O26" s="291">
        <f t="shared" si="6"/>
        <v>43400000</v>
      </c>
      <c r="P26" s="291">
        <f t="shared" si="6"/>
        <v>43400000</v>
      </c>
      <c r="Q26" s="291">
        <f t="shared" si="6"/>
        <v>63400000</v>
      </c>
      <c r="R26" s="291">
        <f>SUM(R24:R25)</f>
        <v>63400000</v>
      </c>
      <c r="S26" s="291">
        <f>SUM(S24:S25)</f>
        <v>83400000</v>
      </c>
      <c r="T26" s="860">
        <f>SUM(T24:T25)</f>
        <v>83400000</v>
      </c>
      <c r="U26" s="279">
        <f t="shared" si="0"/>
        <v>0</v>
      </c>
    </row>
    <row r="27" spans="1:21" ht="27" customHeight="1">
      <c r="A27" s="476">
        <v>2230</v>
      </c>
      <c r="B27" s="280" t="s">
        <v>130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867"/>
      <c r="U27" s="274">
        <f t="shared" si="0"/>
        <v>0</v>
      </c>
    </row>
    <row r="28" spans="1:21" ht="27" customHeight="1">
      <c r="A28" s="392">
        <v>22301</v>
      </c>
      <c r="B28" s="246" t="s">
        <v>49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0">
        <v>10000000</v>
      </c>
      <c r="N28" s="290">
        <f>10000000*70%</f>
        <v>7000000</v>
      </c>
      <c r="O28" s="290">
        <f>10000000*70%</f>
        <v>7000000</v>
      </c>
      <c r="P28" s="290">
        <v>12000000</v>
      </c>
      <c r="Q28" s="290">
        <v>22000000</v>
      </c>
      <c r="R28" s="290">
        <v>22000000</v>
      </c>
      <c r="S28" s="290">
        <v>22000000</v>
      </c>
      <c r="T28" s="858">
        <v>36000000</v>
      </c>
      <c r="U28" s="274">
        <f t="shared" si="0"/>
        <v>14000000</v>
      </c>
    </row>
    <row r="29" spans="1:21" ht="27" customHeight="1">
      <c r="A29" s="392">
        <v>22302</v>
      </c>
      <c r="B29" s="246" t="s">
        <v>249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>
        <v>0</v>
      </c>
      <c r="N29" s="292">
        <v>0</v>
      </c>
      <c r="O29" s="274">
        <v>0</v>
      </c>
      <c r="P29" s="274">
        <v>0</v>
      </c>
      <c r="Q29" s="274">
        <v>0</v>
      </c>
      <c r="R29" s="274">
        <v>0</v>
      </c>
      <c r="S29" s="274">
        <v>0</v>
      </c>
      <c r="T29" s="853">
        <v>0</v>
      </c>
      <c r="U29" s="274">
        <f t="shared" si="0"/>
        <v>0</v>
      </c>
    </row>
    <row r="30" spans="1:21" ht="27" customHeight="1">
      <c r="A30" s="392">
        <v>22313</v>
      </c>
      <c r="B30" s="246" t="s">
        <v>251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>
        <v>0</v>
      </c>
      <c r="N30" s="292">
        <v>0</v>
      </c>
      <c r="O30" s="274">
        <v>0</v>
      </c>
      <c r="P30" s="274">
        <v>0</v>
      </c>
      <c r="Q30" s="274">
        <v>0</v>
      </c>
      <c r="R30" s="274">
        <v>0</v>
      </c>
      <c r="S30" s="274">
        <v>0</v>
      </c>
      <c r="T30" s="853">
        <v>0</v>
      </c>
      <c r="U30" s="274">
        <f t="shared" si="0"/>
        <v>0</v>
      </c>
    </row>
    <row r="31" spans="1:21" ht="27" customHeight="1">
      <c r="A31" s="392"/>
      <c r="B31" s="280" t="s">
        <v>92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1">
        <f t="shared" ref="M31:Q31" si="7">SUM(M28:M30)</f>
        <v>10000000</v>
      </c>
      <c r="N31" s="291">
        <f t="shared" si="7"/>
        <v>7000000</v>
      </c>
      <c r="O31" s="291">
        <f t="shared" si="7"/>
        <v>7000000</v>
      </c>
      <c r="P31" s="291">
        <f t="shared" si="7"/>
        <v>12000000</v>
      </c>
      <c r="Q31" s="291">
        <f t="shared" si="7"/>
        <v>22000000</v>
      </c>
      <c r="R31" s="291">
        <f>SUM(R28:R30)</f>
        <v>22000000</v>
      </c>
      <c r="S31" s="291">
        <f>SUM(S28:S30)</f>
        <v>22000000</v>
      </c>
      <c r="T31" s="860">
        <f>SUM(T28:T30)</f>
        <v>36000000</v>
      </c>
      <c r="U31" s="279">
        <f t="shared" si="0"/>
        <v>14000000</v>
      </c>
    </row>
    <row r="32" spans="1:21" ht="27" customHeight="1">
      <c r="A32" s="476">
        <v>270</v>
      </c>
      <c r="B32" s="280" t="s">
        <v>253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867"/>
      <c r="U32" s="274">
        <f t="shared" si="0"/>
        <v>0</v>
      </c>
    </row>
    <row r="33" spans="1:21" ht="27" customHeight="1">
      <c r="A33" s="476">
        <v>2710</v>
      </c>
      <c r="B33" s="280" t="s">
        <v>252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74"/>
      <c r="Q33" s="274"/>
      <c r="R33" s="274"/>
      <c r="S33" s="274"/>
      <c r="T33" s="853"/>
      <c r="U33" s="274">
        <f t="shared" si="0"/>
        <v>0</v>
      </c>
    </row>
    <row r="34" spans="1:21" ht="27" customHeight="1">
      <c r="A34" s="392">
        <v>27601</v>
      </c>
      <c r="B34" s="246" t="s">
        <v>264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>
        <v>0</v>
      </c>
      <c r="N34" s="292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853">
        <v>0</v>
      </c>
      <c r="U34" s="274">
        <f t="shared" si="0"/>
        <v>0</v>
      </c>
    </row>
    <row r="35" spans="1:21" ht="27" customHeight="1">
      <c r="A35" s="392">
        <v>27402</v>
      </c>
      <c r="B35" s="246" t="s">
        <v>265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>
        <v>0</v>
      </c>
      <c r="N35" s="292">
        <v>0</v>
      </c>
      <c r="O35" s="274">
        <v>0</v>
      </c>
      <c r="P35" s="274">
        <v>0</v>
      </c>
      <c r="Q35" s="274">
        <v>0</v>
      </c>
      <c r="R35" s="274">
        <v>0</v>
      </c>
      <c r="S35" s="274">
        <v>42000000</v>
      </c>
      <c r="T35" s="853">
        <v>120000000</v>
      </c>
      <c r="U35" s="274">
        <f t="shared" si="0"/>
        <v>78000000</v>
      </c>
    </row>
    <row r="36" spans="1:21" ht="27" customHeight="1">
      <c r="A36" s="392"/>
      <c r="B36" s="280" t="s">
        <v>92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1">
        <v>0</v>
      </c>
      <c r="N36" s="291">
        <f t="shared" ref="N36:Q36" si="8">SUM(N34:N35)</f>
        <v>0</v>
      </c>
      <c r="O36" s="274">
        <f t="shared" si="8"/>
        <v>0</v>
      </c>
      <c r="P36" s="274">
        <f t="shared" si="8"/>
        <v>0</v>
      </c>
      <c r="Q36" s="274">
        <f t="shared" si="8"/>
        <v>0</v>
      </c>
      <c r="R36" s="274">
        <f>SUM(R34:R35)</f>
        <v>0</v>
      </c>
      <c r="S36" s="279">
        <f>SUM(S34:S35)</f>
        <v>42000000</v>
      </c>
      <c r="T36" s="850">
        <f>SUM(T34:T35)</f>
        <v>120000000</v>
      </c>
      <c r="U36" s="279">
        <f t="shared" si="0"/>
        <v>78000000</v>
      </c>
    </row>
    <row r="37" spans="1:21" ht="27" customHeight="1">
      <c r="A37" s="392"/>
      <c r="B37" s="280" t="s">
        <v>37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79">
        <f t="shared" ref="M37:Q37" si="9">M36+M31+M26+M21+M10</f>
        <v>306784800</v>
      </c>
      <c r="N37" s="279">
        <f t="shared" si="9"/>
        <v>346828800</v>
      </c>
      <c r="O37" s="279">
        <f t="shared" si="9"/>
        <v>360848800</v>
      </c>
      <c r="P37" s="279">
        <f t="shared" si="9"/>
        <v>316181600</v>
      </c>
      <c r="Q37" s="279">
        <f t="shared" si="9"/>
        <v>853137920</v>
      </c>
      <c r="R37" s="279">
        <f>R36+R31+R26+R21+R10</f>
        <v>890380800</v>
      </c>
      <c r="S37" s="279">
        <f>S36+S31+S26+S21+S10</f>
        <v>1138627200</v>
      </c>
      <c r="T37" s="850">
        <f>T36+T31+T26+T21+T10</f>
        <v>2950591296</v>
      </c>
      <c r="U37" s="279">
        <f t="shared" si="0"/>
        <v>1811964096</v>
      </c>
    </row>
    <row r="38" spans="1:21" ht="27" customHeight="1">
      <c r="U38" s="707"/>
    </row>
  </sheetData>
  <phoneticPr fontId="41" type="noConversion"/>
  <pageMargins left="0.25" right="0.45" top="1.58" bottom="0.79" header="0.77" footer="0.34"/>
  <pageSetup scale="60" orientation="portrait" r:id="rId1"/>
  <headerFooter alignWithMargins="0">
    <oddHeader>&amp;C&amp;"Algerian,Bold"&amp;36GUDIdA DIB-U-HABAYNTA SHURUUCDA</oddHeader>
    <oddFooter>&amp;R&amp;"Times New Roman,Bold"&amp;14 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topLeftCell="A34" zoomScale="60" workbookViewId="0">
      <selection activeCell="S50" sqref="S50"/>
    </sheetView>
  </sheetViews>
  <sheetFormatPr defaultColWidth="11.1640625" defaultRowHeight="27" customHeight="1"/>
  <cols>
    <col min="1" max="1" width="15.83203125" style="546" bestFit="1" customWidth="1"/>
    <col min="2" max="2" width="86.1640625" style="515" customWidth="1"/>
    <col min="3" max="3" width="9.6640625" style="515" hidden="1" customWidth="1"/>
    <col min="4" max="4" width="10.83203125" style="515" hidden="1" customWidth="1"/>
    <col min="5" max="5" width="0.33203125" style="515" hidden="1" customWidth="1"/>
    <col min="6" max="6" width="0.1640625" style="515" hidden="1" customWidth="1"/>
    <col min="7" max="12" width="11.1640625" style="515" hidden="1" customWidth="1"/>
    <col min="13" max="13" width="25.5" style="515" hidden="1" customWidth="1"/>
    <col min="14" max="14" width="0.1640625" style="515" hidden="1" customWidth="1"/>
    <col min="15" max="16" width="29.83203125" style="515" hidden="1" customWidth="1"/>
    <col min="17" max="17" width="0.1640625" style="515" hidden="1" customWidth="1"/>
    <col min="18" max="18" width="33.1640625" style="515" bestFit="1" customWidth="1"/>
    <col min="19" max="19" width="33.1640625" style="515" customWidth="1"/>
    <col min="20" max="20" width="31" style="515" bestFit="1" customWidth="1"/>
    <col min="21" max="16384" width="11.1640625" style="515"/>
  </cols>
  <sheetData>
    <row r="1" spans="1:20" ht="27" customHeight="1">
      <c r="A1" s="544" t="s">
        <v>40</v>
      </c>
      <c r="B1" s="545" t="s">
        <v>1316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292"/>
      <c r="O1" s="292"/>
      <c r="P1" s="292"/>
      <c r="Q1" s="292"/>
      <c r="R1" s="292"/>
      <c r="S1" s="292"/>
      <c r="T1" s="779"/>
    </row>
    <row r="2" spans="1:20" ht="27" customHeight="1">
      <c r="A2" s="544" t="s">
        <v>25</v>
      </c>
      <c r="B2" s="478" t="s">
        <v>26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57</v>
      </c>
      <c r="H2" s="482" t="s">
        <v>64</v>
      </c>
      <c r="I2" s="482" t="s">
        <v>103</v>
      </c>
      <c r="J2" s="482" t="s">
        <v>107</v>
      </c>
      <c r="K2" s="482" t="s">
        <v>115</v>
      </c>
      <c r="L2" s="482" t="s">
        <v>151</v>
      </c>
      <c r="M2" s="482" t="s">
        <v>257</v>
      </c>
      <c r="N2" s="482" t="s">
        <v>440</v>
      </c>
      <c r="O2" s="482" t="s">
        <v>806</v>
      </c>
      <c r="P2" s="482" t="s">
        <v>872</v>
      </c>
      <c r="Q2" s="482" t="s">
        <v>973</v>
      </c>
      <c r="R2" s="482" t="s">
        <v>1160</v>
      </c>
      <c r="S2" s="482" t="s">
        <v>1320</v>
      </c>
      <c r="T2" s="286" t="s">
        <v>56</v>
      </c>
    </row>
    <row r="3" spans="1:20" ht="27" customHeight="1">
      <c r="A3" s="476">
        <v>210</v>
      </c>
      <c r="B3" s="280" t="s">
        <v>137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27" customHeight="1">
      <c r="A4" s="476">
        <v>2110</v>
      </c>
      <c r="B4" s="280" t="s">
        <v>213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92"/>
    </row>
    <row r="5" spans="1:20" ht="27" customHeight="1">
      <c r="A5" s="392">
        <v>21101</v>
      </c>
      <c r="B5" s="246" t="s">
        <v>28</v>
      </c>
      <c r="C5" s="246"/>
      <c r="D5" s="246"/>
      <c r="E5" s="246"/>
      <c r="F5" s="246"/>
      <c r="G5" s="246"/>
      <c r="H5" s="246"/>
      <c r="I5" s="246"/>
      <c r="J5" s="246"/>
      <c r="K5" s="246"/>
      <c r="L5" s="246">
        <f>5452606800+308184000</f>
        <v>5760790800</v>
      </c>
      <c r="M5" s="246">
        <v>5752989600</v>
      </c>
      <c r="N5" s="246">
        <v>1620715200</v>
      </c>
      <c r="O5" s="246">
        <v>1705048800</v>
      </c>
      <c r="P5" s="246">
        <v>2531655360</v>
      </c>
      <c r="Q5" s="246">
        <v>2543336640</v>
      </c>
      <c r="R5" s="246">
        <v>3133578240</v>
      </c>
      <c r="S5" s="246">
        <v>3512954016</v>
      </c>
      <c r="T5" s="274">
        <f>S5-R5</f>
        <v>379375776</v>
      </c>
    </row>
    <row r="6" spans="1:20" ht="27" customHeight="1">
      <c r="A6" s="392">
        <v>21102</v>
      </c>
      <c r="B6" s="246" t="s">
        <v>562</v>
      </c>
      <c r="C6" s="246"/>
      <c r="D6" s="246"/>
      <c r="E6" s="246"/>
      <c r="F6" s="246"/>
      <c r="G6" s="246"/>
      <c r="H6" s="246"/>
      <c r="I6" s="246"/>
      <c r="J6" s="246"/>
      <c r="K6" s="246"/>
      <c r="L6" s="246">
        <v>0</v>
      </c>
      <c r="M6" s="246">
        <v>413712000</v>
      </c>
      <c r="N6" s="246">
        <v>4865040000</v>
      </c>
      <c r="O6" s="246">
        <v>4962240000</v>
      </c>
      <c r="P6" s="246">
        <v>5121360000</v>
      </c>
      <c r="Q6" s="246">
        <v>5121360000</v>
      </c>
      <c r="R6" s="246">
        <v>5121360000</v>
      </c>
      <c r="S6" s="840">
        <v>5316048000</v>
      </c>
      <c r="T6" s="274">
        <f t="shared" ref="T6:T50" si="0">S6-R6</f>
        <v>194688000</v>
      </c>
    </row>
    <row r="7" spans="1:20" ht="27" customHeight="1">
      <c r="A7" s="392">
        <v>21103</v>
      </c>
      <c r="B7" s="246" t="s">
        <v>808</v>
      </c>
      <c r="C7" s="246"/>
      <c r="D7" s="246"/>
      <c r="E7" s="246"/>
      <c r="F7" s="246"/>
      <c r="G7" s="246"/>
      <c r="H7" s="246"/>
      <c r="I7" s="246"/>
      <c r="J7" s="246"/>
      <c r="K7" s="246"/>
      <c r="L7" s="246">
        <f>110800000+61200000</f>
        <v>172000000</v>
      </c>
      <c r="M7" s="246">
        <v>132400000</v>
      </c>
      <c r="N7" s="246">
        <v>161200000</v>
      </c>
      <c r="O7" s="246">
        <v>316800000</v>
      </c>
      <c r="P7" s="246">
        <v>396000000</v>
      </c>
      <c r="Q7" s="246">
        <v>396000000</v>
      </c>
      <c r="R7" s="246">
        <v>396000000</v>
      </c>
      <c r="S7" s="840">
        <v>468000000</v>
      </c>
      <c r="T7" s="274">
        <f t="shared" si="0"/>
        <v>72000000</v>
      </c>
    </row>
    <row r="8" spans="1:20" ht="27" customHeight="1">
      <c r="A8" s="392">
        <v>21105</v>
      </c>
      <c r="B8" s="246" t="s">
        <v>876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>
        <v>0</v>
      </c>
      <c r="O8" s="246">
        <v>24000000</v>
      </c>
      <c r="P8" s="246">
        <v>120000000</v>
      </c>
      <c r="Q8" s="246">
        <v>120000000</v>
      </c>
      <c r="R8" s="282">
        <v>228000000</v>
      </c>
      <c r="S8" s="852">
        <v>1976400000</v>
      </c>
      <c r="T8" s="274">
        <f t="shared" si="0"/>
        <v>1748400000</v>
      </c>
    </row>
    <row r="9" spans="1:20" ht="27" customHeight="1">
      <c r="A9" s="392"/>
      <c r="B9" s="280" t="s">
        <v>92</v>
      </c>
      <c r="C9" s="246"/>
      <c r="D9" s="246"/>
      <c r="E9" s="246"/>
      <c r="F9" s="246"/>
      <c r="G9" s="246"/>
      <c r="H9" s="246"/>
      <c r="I9" s="246"/>
      <c r="J9" s="246"/>
      <c r="K9" s="246"/>
      <c r="L9" s="280">
        <f>SUM(L5:L7)</f>
        <v>5932790800</v>
      </c>
      <c r="M9" s="280">
        <f>SUM(M5:M7)</f>
        <v>6299101600</v>
      </c>
      <c r="N9" s="280">
        <f t="shared" ref="N9:S9" si="1">SUM(N5:N8)</f>
        <v>6646955200</v>
      </c>
      <c r="O9" s="280">
        <f t="shared" si="1"/>
        <v>7008088800</v>
      </c>
      <c r="P9" s="280">
        <f t="shared" si="1"/>
        <v>8169015360</v>
      </c>
      <c r="Q9" s="280">
        <f t="shared" si="1"/>
        <v>8180696640</v>
      </c>
      <c r="R9" s="280">
        <f t="shared" si="1"/>
        <v>8878938240</v>
      </c>
      <c r="S9" s="851">
        <f t="shared" si="1"/>
        <v>11273402016</v>
      </c>
      <c r="T9" s="279">
        <f t="shared" si="0"/>
        <v>2394463776</v>
      </c>
    </row>
    <row r="10" spans="1:20" ht="27" customHeight="1">
      <c r="A10" s="476">
        <v>220</v>
      </c>
      <c r="B10" s="280" t="s">
        <v>225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840"/>
      <c r="T10" s="274">
        <f t="shared" si="0"/>
        <v>0</v>
      </c>
    </row>
    <row r="11" spans="1:20" ht="27" customHeight="1">
      <c r="A11" s="476">
        <v>2210</v>
      </c>
      <c r="B11" s="280" t="s">
        <v>226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840"/>
      <c r="T11" s="274">
        <f t="shared" si="0"/>
        <v>0</v>
      </c>
    </row>
    <row r="12" spans="1:20" ht="27" customHeight="1">
      <c r="A12" s="392">
        <v>22101</v>
      </c>
      <c r="B12" s="246" t="s">
        <v>33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>
        <f>22344000+30462320</f>
        <v>52806320</v>
      </c>
      <c r="M12" s="246">
        <v>21439366</v>
      </c>
      <c r="N12" s="246">
        <f>M12</f>
        <v>21439366</v>
      </c>
      <c r="O12" s="246">
        <f>N12</f>
        <v>21439366</v>
      </c>
      <c r="P12" s="246">
        <v>71439366</v>
      </c>
      <c r="Q12" s="246">
        <v>71439366</v>
      </c>
      <c r="R12" s="246">
        <v>71439366</v>
      </c>
      <c r="S12" s="840">
        <v>71439366</v>
      </c>
      <c r="T12" s="274">
        <f t="shared" si="0"/>
        <v>0</v>
      </c>
    </row>
    <row r="13" spans="1:20" ht="27" customHeight="1">
      <c r="A13" s="392">
        <v>22102</v>
      </c>
      <c r="B13" s="246" t="s">
        <v>124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>
        <f>8937600</f>
        <v>8937600</v>
      </c>
      <c r="M13" s="246">
        <v>8120000</v>
      </c>
      <c r="N13" s="246">
        <f>M13</f>
        <v>8120000</v>
      </c>
      <c r="O13" s="246">
        <v>30000000</v>
      </c>
      <c r="P13" s="246">
        <v>0</v>
      </c>
      <c r="Q13" s="246">
        <v>0</v>
      </c>
      <c r="R13" s="246">
        <v>0</v>
      </c>
      <c r="S13" s="840">
        <v>0</v>
      </c>
      <c r="T13" s="274">
        <f t="shared" si="0"/>
        <v>0</v>
      </c>
    </row>
    <row r="14" spans="1:20" ht="27" customHeight="1">
      <c r="A14" s="392">
        <v>22104</v>
      </c>
      <c r="B14" s="246" t="s">
        <v>157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>
        <f>67136000+77000000</f>
        <v>144136000</v>
      </c>
      <c r="M14" s="246">
        <v>86939216</v>
      </c>
      <c r="N14" s="246">
        <f>M14</f>
        <v>86939216</v>
      </c>
      <c r="O14" s="246">
        <f t="shared" ref="O14:S15" si="2">N14</f>
        <v>86939216</v>
      </c>
      <c r="P14" s="246">
        <f t="shared" si="2"/>
        <v>86939216</v>
      </c>
      <c r="Q14" s="246">
        <f t="shared" si="2"/>
        <v>86939216</v>
      </c>
      <c r="R14" s="246">
        <f t="shared" si="2"/>
        <v>86939216</v>
      </c>
      <c r="S14" s="840">
        <f t="shared" si="2"/>
        <v>86939216</v>
      </c>
      <c r="T14" s="274">
        <f t="shared" si="0"/>
        <v>0</v>
      </c>
    </row>
    <row r="15" spans="1:20" ht="27" customHeight="1">
      <c r="A15" s="392">
        <v>22105</v>
      </c>
      <c r="B15" s="246" t="s">
        <v>135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>
        <f>3724000</f>
        <v>3724000</v>
      </c>
      <c r="M15" s="246">
        <v>4060000</v>
      </c>
      <c r="N15" s="246">
        <f>M15</f>
        <v>4060000</v>
      </c>
      <c r="O15" s="246">
        <f t="shared" si="2"/>
        <v>4060000</v>
      </c>
      <c r="P15" s="246">
        <f t="shared" si="2"/>
        <v>4060000</v>
      </c>
      <c r="Q15" s="246">
        <f t="shared" si="2"/>
        <v>4060000</v>
      </c>
      <c r="R15" s="246">
        <f t="shared" si="2"/>
        <v>4060000</v>
      </c>
      <c r="S15" s="840">
        <f t="shared" si="2"/>
        <v>4060000</v>
      </c>
      <c r="T15" s="274">
        <f t="shared" si="0"/>
        <v>0</v>
      </c>
    </row>
    <row r="16" spans="1:20" ht="27" customHeight="1">
      <c r="A16" s="392">
        <v>22107</v>
      </c>
      <c r="B16" s="246" t="s">
        <v>48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>
        <f>39792000+5213600</f>
        <v>45005600</v>
      </c>
      <c r="M16" s="246">
        <v>15717040</v>
      </c>
      <c r="N16" s="246">
        <f>M16*70%</f>
        <v>11001928</v>
      </c>
      <c r="O16" s="246">
        <v>11001928</v>
      </c>
      <c r="P16" s="246">
        <v>11001928</v>
      </c>
      <c r="Q16" s="246">
        <v>11001928</v>
      </c>
      <c r="R16" s="246">
        <v>11001928</v>
      </c>
      <c r="S16" s="840">
        <v>11001928</v>
      </c>
      <c r="T16" s="274">
        <f t="shared" si="0"/>
        <v>0</v>
      </c>
    </row>
    <row r="17" spans="1:20" ht="27" customHeight="1">
      <c r="A17" s="392">
        <v>22108</v>
      </c>
      <c r="B17" s="246" t="s">
        <v>93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>
        <v>1226626880</v>
      </c>
      <c r="M17" s="246">
        <f>1500000000*70%</f>
        <v>1049999999.9999999</v>
      </c>
      <c r="N17" s="246">
        <v>1600000000</v>
      </c>
      <c r="O17" s="246">
        <v>1900000000</v>
      </c>
      <c r="P17" s="246">
        <v>2300000000</v>
      </c>
      <c r="Q17" s="246">
        <v>4260000000</v>
      </c>
      <c r="R17" s="246">
        <v>6260000000</v>
      </c>
      <c r="S17" s="840">
        <v>7760000000</v>
      </c>
      <c r="T17" s="274">
        <f t="shared" si="0"/>
        <v>1500000000</v>
      </c>
    </row>
    <row r="18" spans="1:20" ht="27" customHeight="1">
      <c r="A18" s="392">
        <v>22109</v>
      </c>
      <c r="B18" s="246" t="s">
        <v>136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46">
        <f>17448000+5213600</f>
        <v>22661600</v>
      </c>
      <c r="M18" s="246">
        <v>14905722</v>
      </c>
      <c r="N18" s="246">
        <v>14905721</v>
      </c>
      <c r="O18" s="246">
        <v>14905721</v>
      </c>
      <c r="P18" s="246">
        <v>14905721</v>
      </c>
      <c r="Q18" s="246">
        <v>14905721</v>
      </c>
      <c r="R18" s="246">
        <v>14905721</v>
      </c>
      <c r="S18" s="840">
        <v>14905721</v>
      </c>
      <c r="T18" s="274">
        <f t="shared" si="0"/>
        <v>0</v>
      </c>
    </row>
    <row r="19" spans="1:20" ht="27" customHeight="1">
      <c r="A19" s="392">
        <v>22112</v>
      </c>
      <c r="B19" s="246" t="s">
        <v>35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>
        <f>17448000+49000000</f>
        <v>66448000</v>
      </c>
      <c r="M19" s="246">
        <v>44443034</v>
      </c>
      <c r="N19" s="246">
        <f>M19</f>
        <v>44443034</v>
      </c>
      <c r="O19" s="246">
        <f>N19</f>
        <v>44443034</v>
      </c>
      <c r="P19" s="246">
        <f>O19</f>
        <v>44443034</v>
      </c>
      <c r="Q19" s="246">
        <v>88000000</v>
      </c>
      <c r="R19" s="246">
        <v>138000000</v>
      </c>
      <c r="S19" s="840">
        <v>250000000</v>
      </c>
      <c r="T19" s="274">
        <f t="shared" si="0"/>
        <v>112000000</v>
      </c>
    </row>
    <row r="20" spans="1:20" ht="27" customHeight="1">
      <c r="A20" s="392">
        <v>22124</v>
      </c>
      <c r="B20" s="246" t="s">
        <v>563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>
        <v>3865000000</v>
      </c>
      <c r="M20" s="246">
        <f>4000000000*70%</f>
        <v>2800000000</v>
      </c>
      <c r="N20" s="246">
        <v>3600000000</v>
      </c>
      <c r="O20" s="246">
        <v>4000000000</v>
      </c>
      <c r="P20" s="246">
        <v>4100000000</v>
      </c>
      <c r="Q20" s="246">
        <v>5100000000</v>
      </c>
      <c r="R20" s="246">
        <v>6360000000</v>
      </c>
      <c r="S20" s="840">
        <v>7000000000</v>
      </c>
      <c r="T20" s="274">
        <f t="shared" si="0"/>
        <v>640000000</v>
      </c>
    </row>
    <row r="21" spans="1:20" ht="27" customHeight="1">
      <c r="A21" s="392">
        <v>22132</v>
      </c>
      <c r="B21" s="246" t="s">
        <v>376</v>
      </c>
      <c r="C21" s="280"/>
      <c r="D21" s="280"/>
      <c r="E21" s="280"/>
      <c r="F21" s="280"/>
      <c r="G21" s="280"/>
      <c r="H21" s="280"/>
      <c r="I21" s="280"/>
      <c r="J21" s="280"/>
      <c r="K21" s="246"/>
      <c r="L21" s="246">
        <v>9594000</v>
      </c>
      <c r="M21" s="246">
        <v>3895164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74">
        <f t="shared" si="0"/>
        <v>0</v>
      </c>
    </row>
    <row r="22" spans="1:20" ht="27" customHeight="1">
      <c r="A22" s="392">
        <v>22135</v>
      </c>
      <c r="B22" s="246" t="s">
        <v>461</v>
      </c>
      <c r="C22" s="280"/>
      <c r="D22" s="280"/>
      <c r="E22" s="280"/>
      <c r="F22" s="280"/>
      <c r="G22" s="280"/>
      <c r="H22" s="280"/>
      <c r="I22" s="280"/>
      <c r="J22" s="280"/>
      <c r="K22" s="246"/>
      <c r="L22" s="246">
        <v>1384504728</v>
      </c>
      <c r="M22" s="246">
        <f>4087584931*70%+1</f>
        <v>2861309452.6999998</v>
      </c>
      <c r="N22" s="246">
        <v>450000000</v>
      </c>
      <c r="O22" s="246">
        <v>450000000</v>
      </c>
      <c r="P22" s="246">
        <v>450000000</v>
      </c>
      <c r="Q22" s="246">
        <v>450000000</v>
      </c>
      <c r="R22" s="246">
        <v>450000000</v>
      </c>
      <c r="S22" s="840">
        <v>450000000</v>
      </c>
      <c r="T22" s="274">
        <f t="shared" si="0"/>
        <v>0</v>
      </c>
    </row>
    <row r="23" spans="1:20" ht="27" customHeight="1">
      <c r="A23" s="392">
        <v>22137</v>
      </c>
      <c r="B23" s="246" t="s">
        <v>1207</v>
      </c>
      <c r="C23" s="280"/>
      <c r="D23" s="280"/>
      <c r="E23" s="280"/>
      <c r="F23" s="280"/>
      <c r="G23" s="280"/>
      <c r="H23" s="280"/>
      <c r="I23" s="280"/>
      <c r="J23" s="280"/>
      <c r="K23" s="246"/>
      <c r="L23" s="246"/>
      <c r="M23" s="246"/>
      <c r="N23" s="246"/>
      <c r="O23" s="246"/>
      <c r="P23" s="246"/>
      <c r="Q23" s="246"/>
      <c r="R23" s="246">
        <v>150000000</v>
      </c>
      <c r="S23" s="840">
        <v>150000000</v>
      </c>
      <c r="T23" s="274">
        <f t="shared" si="0"/>
        <v>0</v>
      </c>
    </row>
    <row r="24" spans="1:20" ht="27" customHeight="1">
      <c r="A24" s="392">
        <v>22147</v>
      </c>
      <c r="B24" s="246" t="s">
        <v>468</v>
      </c>
      <c r="C24" s="246"/>
      <c r="D24" s="246"/>
      <c r="E24" s="246"/>
      <c r="F24" s="246"/>
      <c r="G24" s="246"/>
      <c r="H24" s="246"/>
      <c r="I24" s="246"/>
      <c r="J24" s="246"/>
      <c r="K24" s="280"/>
      <c r="L24" s="246"/>
      <c r="M24" s="246"/>
      <c r="N24" s="246">
        <v>500000000</v>
      </c>
      <c r="O24" s="246">
        <v>900000000</v>
      </c>
      <c r="P24" s="246">
        <v>900000000</v>
      </c>
      <c r="Q24" s="246">
        <v>0</v>
      </c>
      <c r="R24" s="246">
        <v>600000000</v>
      </c>
      <c r="S24" s="840">
        <v>600000000</v>
      </c>
      <c r="T24" s="274">
        <f t="shared" si="0"/>
        <v>0</v>
      </c>
    </row>
    <row r="25" spans="1:20" ht="27" customHeight="1">
      <c r="A25" s="392"/>
      <c r="B25" s="280" t="s">
        <v>92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80">
        <f>SUM(L12:L23)</f>
        <v>6829444728</v>
      </c>
      <c r="M25" s="280">
        <f>SUM(M12:M23)</f>
        <v>6910828994.6999998</v>
      </c>
      <c r="N25" s="280">
        <f t="shared" ref="N25:S25" si="3">SUM(N11:N24)</f>
        <v>6340909265</v>
      </c>
      <c r="O25" s="280">
        <f t="shared" si="3"/>
        <v>7462789265</v>
      </c>
      <c r="P25" s="280">
        <f t="shared" si="3"/>
        <v>7982789265</v>
      </c>
      <c r="Q25" s="280">
        <f t="shared" si="3"/>
        <v>10086346231</v>
      </c>
      <c r="R25" s="280">
        <f t="shared" si="3"/>
        <v>14146346231</v>
      </c>
      <c r="S25" s="851">
        <f t="shared" si="3"/>
        <v>16398346231</v>
      </c>
      <c r="T25" s="279">
        <f t="shared" si="0"/>
        <v>2252000000</v>
      </c>
    </row>
    <row r="26" spans="1:20" ht="27" customHeight="1">
      <c r="A26" s="476">
        <v>2220</v>
      </c>
      <c r="B26" s="280" t="s">
        <v>240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840"/>
      <c r="T26" s="274">
        <f t="shared" si="0"/>
        <v>0</v>
      </c>
    </row>
    <row r="27" spans="1:20" ht="27" customHeight="1">
      <c r="A27" s="392">
        <v>22202</v>
      </c>
      <c r="B27" s="246" t="s">
        <v>133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>
        <f>412503000+230000000</f>
        <v>642503000</v>
      </c>
      <c r="M27" s="246">
        <v>499752100</v>
      </c>
      <c r="N27" s="246">
        <v>583801680</v>
      </c>
      <c r="O27" s="246">
        <v>583801680</v>
      </c>
      <c r="P27" s="246">
        <v>683801680</v>
      </c>
      <c r="Q27" s="246">
        <v>683801680</v>
      </c>
      <c r="R27" s="246">
        <v>783801680</v>
      </c>
      <c r="S27" s="840">
        <v>783801680</v>
      </c>
      <c r="T27" s="274">
        <f t="shared" si="0"/>
        <v>0</v>
      </c>
    </row>
    <row r="28" spans="1:20" ht="27" customHeight="1">
      <c r="A28" s="392">
        <v>22203</v>
      </c>
      <c r="B28" s="246" t="s">
        <v>127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46">
        <f>37240000+32000000</f>
        <v>69240000</v>
      </c>
      <c r="M28" s="246">
        <v>33292000</v>
      </c>
      <c r="N28" s="246">
        <f t="shared" ref="N28:S30" si="4">M28</f>
        <v>33292000</v>
      </c>
      <c r="O28" s="246">
        <f t="shared" si="4"/>
        <v>33292000</v>
      </c>
      <c r="P28" s="246">
        <f t="shared" si="4"/>
        <v>33292000</v>
      </c>
      <c r="Q28" s="246">
        <v>33292000</v>
      </c>
      <c r="R28" s="246">
        <v>33292000</v>
      </c>
      <c r="S28" s="840">
        <v>33292000</v>
      </c>
      <c r="T28" s="274">
        <f t="shared" si="0"/>
        <v>0</v>
      </c>
    </row>
    <row r="29" spans="1:20" ht="27" customHeight="1">
      <c r="A29" s="392">
        <v>22204</v>
      </c>
      <c r="B29" s="246" t="s">
        <v>128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46">
        <f>18620000+5958400</f>
        <v>24578400</v>
      </c>
      <c r="M29" s="246">
        <v>10150000</v>
      </c>
      <c r="N29" s="246">
        <f t="shared" si="4"/>
        <v>10150000</v>
      </c>
      <c r="O29" s="246">
        <f t="shared" si="4"/>
        <v>10150000</v>
      </c>
      <c r="P29" s="246">
        <f t="shared" si="4"/>
        <v>10150000</v>
      </c>
      <c r="Q29" s="246">
        <f t="shared" si="4"/>
        <v>10150000</v>
      </c>
      <c r="R29" s="246">
        <f t="shared" si="4"/>
        <v>10150000</v>
      </c>
      <c r="S29" s="840">
        <f t="shared" si="4"/>
        <v>10150000</v>
      </c>
      <c r="T29" s="274">
        <f t="shared" si="0"/>
        <v>0</v>
      </c>
    </row>
    <row r="30" spans="1:20" ht="27" customHeight="1">
      <c r="A30" s="392">
        <v>22208</v>
      </c>
      <c r="B30" s="246" t="s">
        <v>434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0">
        <f>601648350</f>
        <v>601648350</v>
      </c>
      <c r="M30" s="290">
        <v>121680000</v>
      </c>
      <c r="N30" s="246">
        <f t="shared" si="4"/>
        <v>121680000</v>
      </c>
      <c r="O30" s="246">
        <f t="shared" si="4"/>
        <v>121680000</v>
      </c>
      <c r="P30" s="246">
        <v>168480000</v>
      </c>
      <c r="Q30" s="246">
        <v>168480000</v>
      </c>
      <c r="R30" s="246">
        <v>168480000</v>
      </c>
      <c r="S30" s="840">
        <v>224640000</v>
      </c>
      <c r="T30" s="274">
        <f t="shared" si="0"/>
        <v>56160000</v>
      </c>
    </row>
    <row r="31" spans="1:20" ht="27" customHeight="1">
      <c r="A31" s="392"/>
      <c r="B31" s="280" t="s">
        <v>92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79">
        <f t="shared" ref="L31:Q31" si="5">SUM(L27:L30)</f>
        <v>1337969750</v>
      </c>
      <c r="M31" s="279">
        <f t="shared" si="5"/>
        <v>664874100</v>
      </c>
      <c r="N31" s="279">
        <f t="shared" si="5"/>
        <v>748923680</v>
      </c>
      <c r="O31" s="279">
        <f t="shared" si="5"/>
        <v>748923680</v>
      </c>
      <c r="P31" s="279">
        <f t="shared" si="5"/>
        <v>895723680</v>
      </c>
      <c r="Q31" s="279">
        <f t="shared" si="5"/>
        <v>895723680</v>
      </c>
      <c r="R31" s="279">
        <f>SUM(R27:R30)</f>
        <v>995723680</v>
      </c>
      <c r="S31" s="850">
        <f>SUM(S27:S30)</f>
        <v>1051883680</v>
      </c>
      <c r="T31" s="279">
        <f t="shared" si="0"/>
        <v>56160000</v>
      </c>
    </row>
    <row r="32" spans="1:20" ht="27" customHeight="1">
      <c r="A32" s="476">
        <v>2230</v>
      </c>
      <c r="B32" s="280" t="s">
        <v>130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867"/>
      <c r="T32" s="274">
        <f t="shared" si="0"/>
        <v>0</v>
      </c>
    </row>
    <row r="33" spans="1:20" ht="27" customHeight="1">
      <c r="A33" s="392">
        <v>22301</v>
      </c>
      <c r="B33" s="246" t="s">
        <v>49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0">
        <f>44792401+72850034</f>
        <v>117642435</v>
      </c>
      <c r="M33" s="290">
        <v>47762829</v>
      </c>
      <c r="N33" s="290">
        <f t="shared" ref="N33:S34" si="6">M33</f>
        <v>47762829</v>
      </c>
      <c r="O33" s="290">
        <f t="shared" si="6"/>
        <v>47762829</v>
      </c>
      <c r="P33" s="290">
        <f t="shared" si="6"/>
        <v>47762829</v>
      </c>
      <c r="Q33" s="290">
        <f t="shared" si="6"/>
        <v>47762829</v>
      </c>
      <c r="R33" s="290">
        <f t="shared" si="6"/>
        <v>47762829</v>
      </c>
      <c r="S33" s="858">
        <v>131000000</v>
      </c>
      <c r="T33" s="274">
        <f t="shared" si="0"/>
        <v>83237171</v>
      </c>
    </row>
    <row r="34" spans="1:20" ht="27" customHeight="1">
      <c r="A34" s="392">
        <v>22302</v>
      </c>
      <c r="B34" s="246" t="s">
        <v>249</v>
      </c>
      <c r="C34" s="292"/>
      <c r="D34" s="292"/>
      <c r="E34" s="274" t="e">
        <f>#REF!+#REF!</f>
        <v>#REF!</v>
      </c>
      <c r="F34" s="274" t="e">
        <f>#REF!+#REF!</f>
        <v>#REF!</v>
      </c>
      <c r="G34" s="274"/>
      <c r="H34" s="274"/>
      <c r="I34" s="274"/>
      <c r="J34" s="274"/>
      <c r="K34" s="274"/>
      <c r="L34" s="290">
        <v>5586000</v>
      </c>
      <c r="M34" s="290">
        <v>2267916</v>
      </c>
      <c r="N34" s="290">
        <f t="shared" si="6"/>
        <v>2267916</v>
      </c>
      <c r="O34" s="290">
        <f t="shared" si="6"/>
        <v>2267916</v>
      </c>
      <c r="P34" s="290">
        <f t="shared" si="6"/>
        <v>2267916</v>
      </c>
      <c r="Q34" s="290">
        <f t="shared" si="6"/>
        <v>2267916</v>
      </c>
      <c r="R34" s="290">
        <f t="shared" si="6"/>
        <v>2267916</v>
      </c>
      <c r="S34" s="858">
        <f t="shared" si="6"/>
        <v>2267916</v>
      </c>
      <c r="T34" s="274">
        <f t="shared" si="0"/>
        <v>0</v>
      </c>
    </row>
    <row r="35" spans="1:20" ht="27" customHeight="1">
      <c r="A35" s="392">
        <v>22313</v>
      </c>
      <c r="B35" s="246" t="s">
        <v>251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74">
        <f t="shared" ref="L35:S35" si="7">K35-J35</f>
        <v>0</v>
      </c>
      <c r="M35" s="274">
        <f t="shared" si="7"/>
        <v>0</v>
      </c>
      <c r="N35" s="274">
        <f t="shared" si="7"/>
        <v>0</v>
      </c>
      <c r="O35" s="274">
        <f t="shared" si="7"/>
        <v>0</v>
      </c>
      <c r="P35" s="274">
        <f t="shared" si="7"/>
        <v>0</v>
      </c>
      <c r="Q35" s="274">
        <f t="shared" si="7"/>
        <v>0</v>
      </c>
      <c r="R35" s="274">
        <f t="shared" si="7"/>
        <v>0</v>
      </c>
      <c r="S35" s="853">
        <f t="shared" si="7"/>
        <v>0</v>
      </c>
      <c r="T35" s="274">
        <f t="shared" si="0"/>
        <v>0</v>
      </c>
    </row>
    <row r="36" spans="1:20" ht="27" customHeight="1">
      <c r="A36" s="392"/>
      <c r="B36" s="280" t="s">
        <v>92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1">
        <f t="shared" ref="L36:P36" si="8">SUM(L33:L35)</f>
        <v>123228435</v>
      </c>
      <c r="M36" s="291">
        <f t="shared" si="8"/>
        <v>50030745</v>
      </c>
      <c r="N36" s="291">
        <f t="shared" si="8"/>
        <v>50030745</v>
      </c>
      <c r="O36" s="291">
        <f t="shared" si="8"/>
        <v>50030745</v>
      </c>
      <c r="P36" s="291">
        <f t="shared" si="8"/>
        <v>50030745</v>
      </c>
      <c r="Q36" s="291">
        <f>SUM(Q33:Q35)</f>
        <v>50030745</v>
      </c>
      <c r="R36" s="291">
        <f>SUM(R33:R35)</f>
        <v>50030745</v>
      </c>
      <c r="S36" s="860">
        <f>SUM(S33:S35)</f>
        <v>133267916</v>
      </c>
      <c r="T36" s="279">
        <f t="shared" si="0"/>
        <v>83237171</v>
      </c>
    </row>
    <row r="37" spans="1:20" ht="27" customHeight="1">
      <c r="A37" s="476">
        <v>270</v>
      </c>
      <c r="B37" s="280" t="s">
        <v>253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867"/>
      <c r="T37" s="274">
        <f t="shared" si="0"/>
        <v>0</v>
      </c>
    </row>
    <row r="38" spans="1:20" ht="27" customHeight="1">
      <c r="A38" s="476">
        <v>2710</v>
      </c>
      <c r="B38" s="280" t="s">
        <v>252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867"/>
      <c r="T38" s="274">
        <f t="shared" si="0"/>
        <v>0</v>
      </c>
    </row>
    <row r="39" spans="1:20" ht="27" customHeight="1">
      <c r="A39" s="392">
        <v>27601</v>
      </c>
      <c r="B39" s="246" t="s">
        <v>146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74">
        <f>K39-J39</f>
        <v>0</v>
      </c>
      <c r="M39" s="676">
        <v>40600000</v>
      </c>
      <c r="N39" s="780">
        <v>0</v>
      </c>
      <c r="O39" s="780">
        <v>0</v>
      </c>
      <c r="P39" s="780">
        <v>0</v>
      </c>
      <c r="Q39" s="304">
        <v>50000000</v>
      </c>
      <c r="R39" s="304">
        <v>0</v>
      </c>
      <c r="S39" s="870">
        <v>50000000</v>
      </c>
      <c r="T39" s="274">
        <f t="shared" si="0"/>
        <v>50000000</v>
      </c>
    </row>
    <row r="40" spans="1:20" ht="27" customHeight="1">
      <c r="A40" s="392">
        <v>27402</v>
      </c>
      <c r="B40" s="246" t="s">
        <v>265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74">
        <f>K40-J40</f>
        <v>0</v>
      </c>
      <c r="M40" s="294">
        <v>183750000</v>
      </c>
      <c r="N40" s="294">
        <v>108000000</v>
      </c>
      <c r="O40" s="780">
        <v>0</v>
      </c>
      <c r="P40" s="780">
        <v>0</v>
      </c>
      <c r="Q40" s="780">
        <v>0</v>
      </c>
      <c r="R40" s="304">
        <v>120000000</v>
      </c>
      <c r="S40" s="870">
        <v>0</v>
      </c>
      <c r="T40" s="274">
        <f t="shared" si="0"/>
        <v>-120000000</v>
      </c>
    </row>
    <row r="41" spans="1:20" ht="27" customHeight="1">
      <c r="A41" s="392">
        <v>27502</v>
      </c>
      <c r="B41" s="246" t="s">
        <v>148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0">
        <f>5958400+5724000</f>
        <v>11682400</v>
      </c>
      <c r="M41" s="676">
        <v>4743045</v>
      </c>
      <c r="N41" s="780">
        <v>0</v>
      </c>
      <c r="O41" s="780">
        <v>0</v>
      </c>
      <c r="P41" s="780">
        <v>0</v>
      </c>
      <c r="Q41" s="304">
        <v>0</v>
      </c>
      <c r="R41" s="304">
        <v>0</v>
      </c>
      <c r="S41" s="870">
        <v>0</v>
      </c>
      <c r="T41" s="274">
        <f t="shared" si="0"/>
        <v>0</v>
      </c>
    </row>
    <row r="42" spans="1:20" ht="27" customHeight="1">
      <c r="A42" s="392">
        <v>27604</v>
      </c>
      <c r="B42" s="246" t="s">
        <v>149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74">
        <v>5234000</v>
      </c>
      <c r="M42" s="294">
        <v>2125004</v>
      </c>
      <c r="N42" s="294">
        <v>0</v>
      </c>
      <c r="O42" s="294">
        <v>0</v>
      </c>
      <c r="P42" s="294">
        <v>0</v>
      </c>
      <c r="Q42" s="294">
        <v>0</v>
      </c>
      <c r="R42" s="294">
        <v>0</v>
      </c>
      <c r="S42" s="871">
        <v>0</v>
      </c>
      <c r="T42" s="274">
        <f t="shared" si="0"/>
        <v>0</v>
      </c>
    </row>
    <row r="43" spans="1:20" ht="27" customHeight="1">
      <c r="A43" s="392"/>
      <c r="B43" s="280" t="s">
        <v>92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79">
        <f t="shared" ref="L43:P43" si="9">SUM(L39:L42)</f>
        <v>16916400</v>
      </c>
      <c r="M43" s="279">
        <f t="shared" si="9"/>
        <v>231218049</v>
      </c>
      <c r="N43" s="279">
        <f t="shared" si="9"/>
        <v>108000000</v>
      </c>
      <c r="O43" s="279">
        <f t="shared" si="9"/>
        <v>0</v>
      </c>
      <c r="P43" s="274">
        <f t="shared" si="9"/>
        <v>0</v>
      </c>
      <c r="Q43" s="279">
        <f>SUM(Q39:Q42)</f>
        <v>50000000</v>
      </c>
      <c r="R43" s="279">
        <f>SUM(R39:R42)</f>
        <v>120000000</v>
      </c>
      <c r="S43" s="850">
        <f>SUM(S39:S42)</f>
        <v>50000000</v>
      </c>
      <c r="T43" s="279">
        <f t="shared" si="0"/>
        <v>-70000000</v>
      </c>
    </row>
    <row r="44" spans="1:20" ht="27" customHeight="1">
      <c r="A44" s="476">
        <v>2720</v>
      </c>
      <c r="B44" s="280" t="s">
        <v>129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74"/>
      <c r="M44" s="274"/>
      <c r="N44" s="274">
        <v>0</v>
      </c>
      <c r="O44" s="274">
        <v>0</v>
      </c>
      <c r="P44" s="274">
        <v>0</v>
      </c>
      <c r="Q44" s="274">
        <v>0</v>
      </c>
      <c r="R44" s="274">
        <v>0</v>
      </c>
      <c r="S44" s="853">
        <v>0</v>
      </c>
      <c r="T44" s="274">
        <f t="shared" si="0"/>
        <v>0</v>
      </c>
    </row>
    <row r="45" spans="1:20" ht="27" customHeight="1">
      <c r="A45" s="392">
        <v>27202</v>
      </c>
      <c r="B45" s="246" t="s">
        <v>380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74">
        <v>0</v>
      </c>
      <c r="M45" s="274">
        <f>300000000*70%</f>
        <v>210000000</v>
      </c>
      <c r="N45" s="274">
        <v>700000000</v>
      </c>
      <c r="O45" s="274">
        <v>0</v>
      </c>
      <c r="P45" s="274">
        <v>0</v>
      </c>
      <c r="Q45" s="274">
        <v>0</v>
      </c>
      <c r="R45" s="274">
        <v>0</v>
      </c>
      <c r="S45" s="853">
        <v>0</v>
      </c>
      <c r="T45" s="274">
        <f t="shared" si="0"/>
        <v>0</v>
      </c>
    </row>
    <row r="46" spans="1:20" ht="27" customHeight="1">
      <c r="A46" s="392"/>
      <c r="B46" s="280" t="s">
        <v>92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79">
        <f>SUM(L45)</f>
        <v>0</v>
      </c>
      <c r="M46" s="279">
        <f>M45</f>
        <v>210000000</v>
      </c>
      <c r="N46" s="279">
        <f>N45</f>
        <v>700000000</v>
      </c>
      <c r="O46" s="279">
        <f>SUM(O44:O45)</f>
        <v>0</v>
      </c>
      <c r="P46" s="274">
        <f>SUM(P44:P45)</f>
        <v>0</v>
      </c>
      <c r="Q46" s="274">
        <f>SUM(Q44:Q45)</f>
        <v>0</v>
      </c>
      <c r="R46" s="274">
        <f>SUM(R44:R45)</f>
        <v>0</v>
      </c>
      <c r="S46" s="853">
        <f>SUM(S44:S45)</f>
        <v>0</v>
      </c>
      <c r="T46" s="274">
        <f t="shared" si="0"/>
        <v>0</v>
      </c>
    </row>
    <row r="47" spans="1:20" ht="27" customHeight="1">
      <c r="A47" s="476">
        <v>2810</v>
      </c>
      <c r="B47" s="280" t="s">
        <v>1242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79"/>
      <c r="M47" s="279"/>
      <c r="N47" s="279"/>
      <c r="O47" s="279"/>
      <c r="P47" s="274"/>
      <c r="Q47" s="274"/>
      <c r="R47" s="274"/>
      <c r="S47" s="853"/>
      <c r="T47" s="274">
        <f t="shared" si="0"/>
        <v>0</v>
      </c>
    </row>
    <row r="48" spans="1:20" ht="27" customHeight="1">
      <c r="A48" s="392">
        <v>28102</v>
      </c>
      <c r="B48" s="246" t="s">
        <v>1413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79"/>
      <c r="M48" s="279"/>
      <c r="N48" s="279"/>
      <c r="O48" s="279"/>
      <c r="P48" s="274"/>
      <c r="Q48" s="274">
        <v>0</v>
      </c>
      <c r="R48" s="246">
        <v>820000000</v>
      </c>
      <c r="S48" s="840">
        <v>620000000</v>
      </c>
      <c r="T48" s="274">
        <f t="shared" si="0"/>
        <v>-200000000</v>
      </c>
    </row>
    <row r="49" spans="1:20" ht="27" customHeight="1">
      <c r="A49" s="392"/>
      <c r="B49" s="280" t="s">
        <v>92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79"/>
      <c r="M49" s="279"/>
      <c r="N49" s="279"/>
      <c r="O49" s="279"/>
      <c r="P49" s="274"/>
      <c r="Q49" s="274">
        <f>SUM(Q48)</f>
        <v>0</v>
      </c>
      <c r="R49" s="279">
        <f>SUM(R48)</f>
        <v>820000000</v>
      </c>
      <c r="S49" s="850">
        <f>SUM(S48)</f>
        <v>620000000</v>
      </c>
      <c r="T49" s="279">
        <f t="shared" si="0"/>
        <v>-200000000</v>
      </c>
    </row>
    <row r="50" spans="1:20" ht="27" customHeight="1">
      <c r="A50" s="392"/>
      <c r="B50" s="280" t="s">
        <v>37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79" t="e">
        <f>#REF!+L43+L36+L31+L25+L9</f>
        <v>#REF!</v>
      </c>
      <c r="M50" s="279" t="e">
        <f>#REF!+M46+M43+M36+M31+M25+M9</f>
        <v>#REF!</v>
      </c>
      <c r="N50" s="279" t="e">
        <f>#REF!+N46+N43+N36+N31+N25+N9</f>
        <v>#REF!</v>
      </c>
      <c r="O50" s="279" t="e">
        <f>#REF!+O46+O43+O36+O31+O25+O9</f>
        <v>#REF!</v>
      </c>
      <c r="P50" s="279">
        <f>P46+P43+P36+P31+P25+P9</f>
        <v>17097559050</v>
      </c>
      <c r="Q50" s="279">
        <f>Q46+Q43+Q36+Q31+Q25+Q9+Q49</f>
        <v>19262797296</v>
      </c>
      <c r="R50" s="279">
        <f>R46+R43+R36+R31+R25+R9+R49</f>
        <v>25011038896</v>
      </c>
      <c r="S50" s="850">
        <f>S46+S43+S36+S31+S25+S9+S49</f>
        <v>29526899843</v>
      </c>
      <c r="T50" s="279">
        <f t="shared" si="0"/>
        <v>4515860947</v>
      </c>
    </row>
  </sheetData>
  <pageMargins left="0.7" right="0.7" top="0.75" bottom="0.75" header="0.3" footer="0.3"/>
  <pageSetup scale="50" orientation="portrait" r:id="rId1"/>
  <headerFooter>
    <oddHeader>&amp;C&amp;"Algerian,Bold"&amp;36WASAARADdA ARIMAHA GUDAHA</oddHeader>
    <oddFooter>&amp;R&amp;"Times New Roman,Bold"&amp;12 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55"/>
  <sheetViews>
    <sheetView view="pageBreakPreview" topLeftCell="A33" zoomScale="60" zoomScaleNormal="75" zoomScalePageLayoutView="70" workbookViewId="0">
      <selection activeCell="U55" sqref="U55"/>
    </sheetView>
  </sheetViews>
  <sheetFormatPr defaultRowHeight="24.95" customHeight="1"/>
  <cols>
    <col min="1" max="1" width="15.6640625" style="644" bestFit="1" customWidth="1"/>
    <col min="2" max="2" width="87" style="656" customWidth="1"/>
    <col min="3" max="3" width="17.1640625" style="642" hidden="1" customWidth="1"/>
    <col min="4" max="4" width="18.33203125" style="642" hidden="1" customWidth="1"/>
    <col min="5" max="5" width="18" style="645" hidden="1" customWidth="1"/>
    <col min="6" max="6" width="20.1640625" style="645" hidden="1" customWidth="1"/>
    <col min="7" max="7" width="24.83203125" style="645" hidden="1" customWidth="1"/>
    <col min="8" max="8" width="2.6640625" style="645" hidden="1" customWidth="1"/>
    <col min="9" max="9" width="22.6640625" style="645" hidden="1" customWidth="1"/>
    <col min="10" max="11" width="0.33203125" style="645" hidden="1" customWidth="1"/>
    <col min="12" max="12" width="0.1640625" style="645" hidden="1" customWidth="1"/>
    <col min="13" max="13" width="34" style="642" hidden="1" customWidth="1"/>
    <col min="14" max="14" width="0.1640625" style="642" hidden="1" customWidth="1"/>
    <col min="15" max="15" width="9.33203125" style="642" hidden="1" customWidth="1"/>
    <col min="16" max="16" width="4.6640625" style="642" hidden="1" customWidth="1"/>
    <col min="17" max="19" width="31.6640625" style="708" hidden="1" customWidth="1"/>
    <col min="20" max="21" width="31.6640625" style="708" customWidth="1"/>
    <col min="22" max="22" width="31.6640625" style="502" customWidth="1"/>
    <col min="23" max="16384" width="9.33203125" style="642"/>
  </cols>
  <sheetData>
    <row r="1" spans="1:22" ht="24.95" customHeight="1">
      <c r="A1" s="544" t="s">
        <v>40</v>
      </c>
      <c r="B1" s="545" t="s">
        <v>998</v>
      </c>
      <c r="C1" s="478"/>
      <c r="D1" s="478"/>
      <c r="E1" s="280"/>
      <c r="F1" s="280"/>
      <c r="G1" s="280"/>
      <c r="H1" s="280"/>
      <c r="I1" s="280"/>
      <c r="J1" s="280"/>
      <c r="K1" s="280"/>
      <c r="L1" s="280"/>
      <c r="M1" s="478"/>
      <c r="N1" s="292"/>
      <c r="O1" s="292"/>
      <c r="P1" s="292"/>
      <c r="Q1" s="292"/>
      <c r="R1" s="292"/>
      <c r="S1" s="292"/>
      <c r="T1" s="292"/>
      <c r="U1" s="292"/>
      <c r="V1" s="246"/>
    </row>
    <row r="2" spans="1:22" ht="24.95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116</v>
      </c>
      <c r="L2" s="482" t="s">
        <v>151</v>
      </c>
      <c r="M2" s="482" t="s">
        <v>257</v>
      </c>
      <c r="N2" s="482" t="s">
        <v>442</v>
      </c>
      <c r="O2" s="292"/>
      <c r="P2" s="292"/>
      <c r="Q2" s="482" t="s">
        <v>805</v>
      </c>
      <c r="R2" s="482" t="s">
        <v>871</v>
      </c>
      <c r="S2" s="482" t="s">
        <v>973</v>
      </c>
      <c r="T2" s="482" t="s">
        <v>1160</v>
      </c>
      <c r="U2" s="482" t="s">
        <v>1320</v>
      </c>
      <c r="V2" s="286" t="s">
        <v>56</v>
      </c>
    </row>
    <row r="3" spans="1:22" ht="24.95" customHeight="1">
      <c r="A3" s="476">
        <v>2110</v>
      </c>
      <c r="B3" s="280" t="s">
        <v>213</v>
      </c>
      <c r="C3" s="478"/>
      <c r="D3" s="478"/>
      <c r="E3" s="280"/>
      <c r="F3" s="280"/>
      <c r="G3" s="280"/>
      <c r="H3" s="280"/>
      <c r="I3" s="280"/>
      <c r="J3" s="280"/>
      <c r="K3" s="280"/>
      <c r="L3" s="280"/>
      <c r="M3" s="478"/>
      <c r="N3" s="478"/>
      <c r="O3" s="292"/>
      <c r="P3" s="292"/>
      <c r="Q3" s="478"/>
      <c r="R3" s="478"/>
      <c r="S3" s="478"/>
      <c r="T3" s="478"/>
      <c r="U3" s="478"/>
      <c r="V3" s="280"/>
    </row>
    <row r="4" spans="1:22" ht="24.95" customHeight="1">
      <c r="A4" s="392">
        <v>21101</v>
      </c>
      <c r="B4" s="246" t="s">
        <v>1033</v>
      </c>
      <c r="C4" s="246">
        <v>7630464000</v>
      </c>
      <c r="D4" s="246">
        <v>7646832000</v>
      </c>
      <c r="E4" s="246">
        <v>9059796000</v>
      </c>
      <c r="F4" s="246">
        <v>9479316000</v>
      </c>
      <c r="G4" s="246">
        <v>10692864000</v>
      </c>
      <c r="H4" s="246">
        <f>10739376000+12240000</f>
        <v>10751616000</v>
      </c>
      <c r="I4" s="246">
        <v>13977100800</v>
      </c>
      <c r="J4" s="246">
        <v>18260611200</v>
      </c>
      <c r="K4" s="246">
        <v>18244699200</v>
      </c>
      <c r="L4" s="246">
        <v>20000323200</v>
      </c>
      <c r="M4" s="246">
        <v>40200076800</v>
      </c>
      <c r="N4" s="246">
        <v>40174617600</v>
      </c>
      <c r="O4" s="292"/>
      <c r="P4" s="292"/>
      <c r="Q4" s="246">
        <v>40174617600</v>
      </c>
      <c r="R4" s="246">
        <v>47277734400</v>
      </c>
      <c r="S4" s="246">
        <v>55696953600</v>
      </c>
      <c r="T4" s="246">
        <v>60872581440</v>
      </c>
      <c r="U4" s="246">
        <v>68509075392</v>
      </c>
      <c r="V4" s="246">
        <f>U4-T4</f>
        <v>7636493952</v>
      </c>
    </row>
    <row r="5" spans="1:22" ht="24.95" customHeight="1">
      <c r="A5" s="392">
        <v>21103</v>
      </c>
      <c r="B5" s="246" t="s">
        <v>808</v>
      </c>
      <c r="C5" s="246">
        <v>77080000</v>
      </c>
      <c r="D5" s="246">
        <v>77080000</v>
      </c>
      <c r="E5" s="246">
        <v>75640000</v>
      </c>
      <c r="F5" s="246">
        <v>78000000</v>
      </c>
      <c r="G5" s="246">
        <v>374200000</v>
      </c>
      <c r="H5" s="246">
        <v>374200000</v>
      </c>
      <c r="I5" s="246">
        <v>374200000</v>
      </c>
      <c r="J5" s="246">
        <v>374200000</v>
      </c>
      <c r="K5" s="246">
        <v>374200000</v>
      </c>
      <c r="L5" s="246">
        <v>374200000</v>
      </c>
      <c r="M5" s="246">
        <v>374200000</v>
      </c>
      <c r="N5" s="246">
        <v>374200000</v>
      </c>
      <c r="O5" s="292"/>
      <c r="P5" s="292"/>
      <c r="Q5" s="246">
        <v>374200000</v>
      </c>
      <c r="R5" s="246">
        <v>0</v>
      </c>
      <c r="S5" s="246">
        <v>374200000</v>
      </c>
      <c r="T5" s="246">
        <v>374200000</v>
      </c>
      <c r="U5" s="840">
        <v>2035532000</v>
      </c>
      <c r="V5" s="246">
        <f t="shared" ref="V5:V54" si="0">U5-T5</f>
        <v>1661332000</v>
      </c>
    </row>
    <row r="6" spans="1:22" ht="24.95" customHeight="1">
      <c r="A6" s="392"/>
      <c r="B6" s="280" t="s">
        <v>92</v>
      </c>
      <c r="C6" s="246">
        <v>38390000</v>
      </c>
      <c r="D6" s="246">
        <v>35756369</v>
      </c>
      <c r="E6" s="246">
        <v>35756369</v>
      </c>
      <c r="F6" s="246">
        <v>35756369</v>
      </c>
      <c r="G6" s="246">
        <v>34400000</v>
      </c>
      <c r="H6" s="246">
        <v>50000000</v>
      </c>
      <c r="I6" s="246">
        <v>111720000</v>
      </c>
      <c r="J6" s="246">
        <v>120000000</v>
      </c>
      <c r="K6" s="246">
        <v>0</v>
      </c>
      <c r="L6" s="280">
        <f>SUM(L4:L5)</f>
        <v>20374523200</v>
      </c>
      <c r="M6" s="280">
        <f>SUM(M4:M5)</f>
        <v>40574276800</v>
      </c>
      <c r="N6" s="280">
        <f>SUM(N4:N5)</f>
        <v>40548817600</v>
      </c>
      <c r="O6" s="292"/>
      <c r="P6" s="292"/>
      <c r="Q6" s="280">
        <f>SUM(Q4:Q5)</f>
        <v>40548817600</v>
      </c>
      <c r="R6" s="280">
        <f>SUM(R4:R5)</f>
        <v>47277734400</v>
      </c>
      <c r="S6" s="280">
        <f>SUM(S4:S5)</f>
        <v>56071153600</v>
      </c>
      <c r="T6" s="280">
        <f>SUM(T4:T5)</f>
        <v>61246781440</v>
      </c>
      <c r="U6" s="851">
        <f>SUM(U4:U5)</f>
        <v>70544607392</v>
      </c>
      <c r="V6" s="280">
        <f t="shared" si="0"/>
        <v>9297825952</v>
      </c>
    </row>
    <row r="7" spans="1:22" ht="24.95" customHeight="1">
      <c r="A7" s="476">
        <v>21200</v>
      </c>
      <c r="B7" s="280" t="s">
        <v>1240</v>
      </c>
      <c r="C7" s="246"/>
      <c r="D7" s="246"/>
      <c r="E7" s="246"/>
      <c r="F7" s="246"/>
      <c r="G7" s="246"/>
      <c r="H7" s="246"/>
      <c r="I7" s="246"/>
      <c r="J7" s="246"/>
      <c r="K7" s="246"/>
      <c r="L7" s="280"/>
      <c r="M7" s="280"/>
      <c r="N7" s="280"/>
      <c r="O7" s="292"/>
      <c r="P7" s="292"/>
      <c r="Q7" s="280"/>
      <c r="R7" s="280"/>
      <c r="S7" s="280"/>
      <c r="T7" s="280"/>
      <c r="U7" s="851"/>
      <c r="V7" s="246">
        <f t="shared" si="0"/>
        <v>0</v>
      </c>
    </row>
    <row r="8" spans="1:22" ht="24.95" customHeight="1">
      <c r="A8" s="392">
        <v>21204</v>
      </c>
      <c r="B8" s="246" t="s">
        <v>188</v>
      </c>
      <c r="C8" s="246">
        <v>40000000</v>
      </c>
      <c r="D8" s="246">
        <v>37255999</v>
      </c>
      <c r="E8" s="246">
        <v>37255999</v>
      </c>
      <c r="F8" s="246">
        <v>37255999</v>
      </c>
      <c r="G8" s="246">
        <v>29804800</v>
      </c>
      <c r="H8" s="246">
        <v>37256000</v>
      </c>
      <c r="I8" s="246">
        <v>74480000</v>
      </c>
      <c r="J8" s="246">
        <v>120000000</v>
      </c>
      <c r="K8" s="246">
        <v>0</v>
      </c>
      <c r="L8" s="246">
        <v>100000000</v>
      </c>
      <c r="M8" s="246">
        <f>100000000</f>
        <v>100000000</v>
      </c>
      <c r="N8" s="246">
        <f>100000000</f>
        <v>100000000</v>
      </c>
      <c r="O8" s="292"/>
      <c r="P8" s="292"/>
      <c r="Q8" s="246">
        <f>100000000</f>
        <v>100000000</v>
      </c>
      <c r="R8" s="246">
        <v>200000000</v>
      </c>
      <c r="S8" s="246">
        <v>200000000</v>
      </c>
      <c r="T8" s="246">
        <v>200000000</v>
      </c>
      <c r="U8" s="840">
        <v>300000000</v>
      </c>
      <c r="V8" s="246">
        <f t="shared" si="0"/>
        <v>100000000</v>
      </c>
    </row>
    <row r="9" spans="1:22" s="757" customFormat="1" ht="24.95" customHeight="1">
      <c r="A9" s="476"/>
      <c r="B9" s="280" t="s">
        <v>92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478"/>
      <c r="P9" s="478"/>
      <c r="Q9" s="280"/>
      <c r="R9" s="280"/>
      <c r="S9" s="280">
        <f>SUM(S8)</f>
        <v>200000000</v>
      </c>
      <c r="T9" s="280">
        <f>SUM(T8)</f>
        <v>200000000</v>
      </c>
      <c r="U9" s="851">
        <f>SUM(U8)</f>
        <v>300000000</v>
      </c>
      <c r="V9" s="280">
        <f t="shared" si="0"/>
        <v>100000000</v>
      </c>
    </row>
    <row r="10" spans="1:22" ht="24.95" customHeight="1">
      <c r="A10" s="476">
        <v>220</v>
      </c>
      <c r="B10" s="280" t="s">
        <v>225</v>
      </c>
      <c r="C10" s="246">
        <v>11934000</v>
      </c>
      <c r="D10" s="246">
        <v>11115303</v>
      </c>
      <c r="E10" s="246">
        <v>11115303</v>
      </c>
      <c r="F10" s="246">
        <v>11115303</v>
      </c>
      <c r="G10" s="246">
        <v>12800000</v>
      </c>
      <c r="H10" s="246">
        <v>16000000</v>
      </c>
      <c r="I10" s="246">
        <v>14896000</v>
      </c>
      <c r="J10" s="246">
        <v>30000000</v>
      </c>
      <c r="K10" s="246">
        <v>0</v>
      </c>
      <c r="L10" s="246"/>
      <c r="M10" s="246"/>
      <c r="N10" s="246"/>
      <c r="O10" s="292"/>
      <c r="P10" s="292"/>
      <c r="Q10" s="246"/>
      <c r="R10" s="246"/>
      <c r="S10" s="246"/>
      <c r="T10" s="246"/>
      <c r="U10" s="840"/>
      <c r="V10" s="246">
        <f t="shared" si="0"/>
        <v>0</v>
      </c>
    </row>
    <row r="11" spans="1:22" ht="24.95" customHeight="1">
      <c r="A11" s="476">
        <v>2210</v>
      </c>
      <c r="B11" s="280" t="s">
        <v>226</v>
      </c>
      <c r="C11" s="246">
        <v>2344896000</v>
      </c>
      <c r="D11" s="246">
        <v>2114683200</v>
      </c>
      <c r="E11" s="246">
        <v>2448144000</v>
      </c>
      <c r="F11" s="246">
        <v>2972795000</v>
      </c>
      <c r="G11" s="246">
        <v>2712528000</v>
      </c>
      <c r="H11" s="246">
        <v>2997775872</v>
      </c>
      <c r="I11" s="246">
        <f>2997775872+117478118</f>
        <v>3115253990</v>
      </c>
      <c r="J11" s="246">
        <v>5644604763</v>
      </c>
      <c r="K11" s="246">
        <v>74480000</v>
      </c>
      <c r="L11" s="246"/>
      <c r="M11" s="246"/>
      <c r="N11" s="246"/>
      <c r="O11" s="292"/>
      <c r="P11" s="292"/>
      <c r="Q11" s="246"/>
      <c r="R11" s="246"/>
      <c r="S11" s="246"/>
      <c r="T11" s="246"/>
      <c r="U11" s="840"/>
      <c r="V11" s="246">
        <f t="shared" si="0"/>
        <v>0</v>
      </c>
    </row>
    <row r="12" spans="1:22" ht="24.95" customHeight="1">
      <c r="A12" s="392">
        <v>22101</v>
      </c>
      <c r="B12" s="246" t="s">
        <v>33</v>
      </c>
      <c r="C12" s="246"/>
      <c r="D12" s="246"/>
      <c r="E12" s="246"/>
      <c r="F12" s="246"/>
      <c r="G12" s="246"/>
      <c r="H12" s="246">
        <v>0</v>
      </c>
      <c r="I12" s="246">
        <v>230168250</v>
      </c>
      <c r="J12" s="246">
        <v>335673000</v>
      </c>
      <c r="K12" s="246">
        <v>16288776</v>
      </c>
      <c r="L12" s="246">
        <v>0</v>
      </c>
      <c r="M12" s="246">
        <v>0</v>
      </c>
      <c r="N12" s="246">
        <v>0</v>
      </c>
      <c r="O12" s="292"/>
      <c r="P12" s="292"/>
      <c r="Q12" s="246">
        <v>0</v>
      </c>
      <c r="R12" s="246">
        <f>Q13</f>
        <v>13474400</v>
      </c>
      <c r="S12" s="246">
        <f>R12</f>
        <v>13474400</v>
      </c>
      <c r="T12" s="246">
        <f>S12</f>
        <v>13474400</v>
      </c>
      <c r="U12" s="840">
        <f>T12</f>
        <v>13474400</v>
      </c>
      <c r="V12" s="246">
        <f t="shared" si="0"/>
        <v>0</v>
      </c>
    </row>
    <row r="13" spans="1:22" ht="24.95" customHeight="1">
      <c r="A13" s="392">
        <v>22102</v>
      </c>
      <c r="B13" s="246" t="s">
        <v>124</v>
      </c>
      <c r="C13" s="246">
        <v>25000000</v>
      </c>
      <c r="D13" s="246">
        <v>23284949</v>
      </c>
      <c r="E13" s="246">
        <v>33784960</v>
      </c>
      <c r="F13" s="246">
        <v>33784960</v>
      </c>
      <c r="G13" s="246">
        <v>38400000</v>
      </c>
      <c r="H13" s="246">
        <v>48000000</v>
      </c>
      <c r="I13" s="246">
        <v>44688000</v>
      </c>
      <c r="J13" s="246">
        <v>50000000</v>
      </c>
      <c r="K13" s="246">
        <v>6951963</v>
      </c>
      <c r="L13" s="246">
        <v>12000000</v>
      </c>
      <c r="M13" s="246">
        <f>12000000+1474400</f>
        <v>13474400</v>
      </c>
      <c r="N13" s="246">
        <f>12000000+1474400</f>
        <v>13474400</v>
      </c>
      <c r="O13" s="292"/>
      <c r="P13" s="292"/>
      <c r="Q13" s="246">
        <f>12000000+1474400</f>
        <v>13474400</v>
      </c>
      <c r="R13" s="246">
        <v>0</v>
      </c>
      <c r="S13" s="246">
        <v>0</v>
      </c>
      <c r="T13" s="246">
        <v>0</v>
      </c>
      <c r="U13" s="840">
        <v>0</v>
      </c>
      <c r="V13" s="246">
        <f t="shared" si="0"/>
        <v>0</v>
      </c>
    </row>
    <row r="14" spans="1:22" ht="24.95" customHeight="1">
      <c r="A14" s="392">
        <v>22103</v>
      </c>
      <c r="B14" s="246" t="s">
        <v>125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163856000</v>
      </c>
      <c r="L14" s="246">
        <v>30000000</v>
      </c>
      <c r="M14" s="246">
        <f>30000000*70%+9000000</f>
        <v>30000000</v>
      </c>
      <c r="N14" s="292"/>
      <c r="O14" s="292"/>
      <c r="P14" s="292"/>
      <c r="Q14" s="292"/>
      <c r="R14" s="292"/>
      <c r="S14" s="292"/>
      <c r="T14" s="292"/>
      <c r="U14" s="867"/>
      <c r="V14" s="246">
        <f t="shared" si="0"/>
        <v>0</v>
      </c>
    </row>
    <row r="15" spans="1:22" ht="24.95" customHeight="1">
      <c r="A15" s="392">
        <v>22104</v>
      </c>
      <c r="B15" s="246" t="s">
        <v>157</v>
      </c>
      <c r="C15" s="280">
        <f t="shared" ref="C15:J15" si="1">SUM(C6:C14)</f>
        <v>2460220000</v>
      </c>
      <c r="D15" s="280">
        <f t="shared" si="1"/>
        <v>2222095820</v>
      </c>
      <c r="E15" s="280">
        <f t="shared" si="1"/>
        <v>2566056631</v>
      </c>
      <c r="F15" s="280">
        <f t="shared" si="1"/>
        <v>3090707631</v>
      </c>
      <c r="G15" s="280">
        <f t="shared" si="1"/>
        <v>2827932800</v>
      </c>
      <c r="H15" s="280">
        <f t="shared" si="1"/>
        <v>3149031872</v>
      </c>
      <c r="I15" s="280">
        <f t="shared" si="1"/>
        <v>3591206240</v>
      </c>
      <c r="J15" s="280">
        <f t="shared" si="1"/>
        <v>6300277763</v>
      </c>
      <c r="K15" s="246">
        <v>150000000</v>
      </c>
      <c r="L15" s="246">
        <v>0</v>
      </c>
      <c r="M15" s="246">
        <v>0</v>
      </c>
      <c r="N15" s="246">
        <v>0</v>
      </c>
      <c r="O15" s="292"/>
      <c r="P15" s="292"/>
      <c r="Q15" s="246">
        <v>0</v>
      </c>
      <c r="R15" s="246">
        <v>0</v>
      </c>
      <c r="S15" s="246">
        <v>0</v>
      </c>
      <c r="T15" s="246">
        <v>100000000</v>
      </c>
      <c r="U15" s="840">
        <v>100000000</v>
      </c>
      <c r="V15" s="246">
        <f t="shared" si="0"/>
        <v>0</v>
      </c>
    </row>
    <row r="16" spans="1:22" ht="24.95" customHeight="1">
      <c r="A16" s="392">
        <v>22105</v>
      </c>
      <c r="B16" s="246" t="s">
        <v>135</v>
      </c>
      <c r="C16" s="280"/>
      <c r="D16" s="280"/>
      <c r="E16" s="280"/>
      <c r="F16" s="280"/>
      <c r="G16" s="280"/>
      <c r="H16" s="280"/>
      <c r="I16" s="280"/>
      <c r="J16" s="280"/>
      <c r="K16" s="246">
        <v>50000000</v>
      </c>
      <c r="L16" s="246">
        <v>0</v>
      </c>
      <c r="M16" s="246">
        <v>0</v>
      </c>
      <c r="N16" s="246">
        <v>0</v>
      </c>
      <c r="O16" s="292"/>
      <c r="P16" s="292"/>
      <c r="Q16" s="246">
        <v>0</v>
      </c>
      <c r="R16" s="246">
        <v>0</v>
      </c>
      <c r="S16" s="246">
        <v>0</v>
      </c>
      <c r="T16" s="246">
        <v>60000000</v>
      </c>
      <c r="U16" s="840">
        <v>60000000</v>
      </c>
      <c r="V16" s="246">
        <f t="shared" si="0"/>
        <v>0</v>
      </c>
    </row>
    <row r="17" spans="1:22" ht="24.95" customHeight="1">
      <c r="A17" s="392">
        <v>22106</v>
      </c>
      <c r="B17" s="246" t="s">
        <v>126</v>
      </c>
      <c r="C17" s="280"/>
      <c r="D17" s="280"/>
      <c r="E17" s="280"/>
      <c r="F17" s="280"/>
      <c r="G17" s="280"/>
      <c r="H17" s="280"/>
      <c r="I17" s="280"/>
      <c r="J17" s="280"/>
      <c r="K17" s="246">
        <v>540000000</v>
      </c>
      <c r="L17" s="246">
        <v>150000000</v>
      </c>
      <c r="M17" s="246">
        <f>150000000</f>
        <v>150000000</v>
      </c>
      <c r="N17" s="246">
        <v>50000000</v>
      </c>
      <c r="O17" s="292"/>
      <c r="P17" s="292"/>
      <c r="Q17" s="246">
        <v>50000000</v>
      </c>
      <c r="R17" s="246">
        <v>50000000</v>
      </c>
      <c r="S17" s="246">
        <v>50000000</v>
      </c>
      <c r="T17" s="246">
        <v>50000000</v>
      </c>
      <c r="U17" s="840">
        <v>50000000</v>
      </c>
      <c r="V17" s="246">
        <f t="shared" si="0"/>
        <v>0</v>
      </c>
    </row>
    <row r="18" spans="1:22" ht="24.95" customHeight="1">
      <c r="A18" s="392">
        <v>22107</v>
      </c>
      <c r="B18" s="246" t="s">
        <v>48</v>
      </c>
      <c r="C18" s="246"/>
      <c r="D18" s="246"/>
      <c r="E18" s="246"/>
      <c r="F18" s="246"/>
      <c r="G18" s="246"/>
      <c r="H18" s="246"/>
      <c r="I18" s="246"/>
      <c r="J18" s="246"/>
      <c r="K18" s="246">
        <v>799312000</v>
      </c>
      <c r="L18" s="246">
        <v>40000000</v>
      </c>
      <c r="M18" s="246">
        <f>40000000</f>
        <v>40000000</v>
      </c>
      <c r="N18" s="246">
        <f>M18*70%</f>
        <v>28000000</v>
      </c>
      <c r="O18" s="292"/>
      <c r="P18" s="292"/>
      <c r="Q18" s="246">
        <f>N18</f>
        <v>28000000</v>
      </c>
      <c r="R18" s="246">
        <f>Q18</f>
        <v>28000000</v>
      </c>
      <c r="S18" s="246">
        <f>R18</f>
        <v>28000000</v>
      </c>
      <c r="T18" s="246">
        <f>S18</f>
        <v>28000000</v>
      </c>
      <c r="U18" s="840">
        <f>T18</f>
        <v>28000000</v>
      </c>
      <c r="V18" s="246">
        <f t="shared" si="0"/>
        <v>0</v>
      </c>
    </row>
    <row r="19" spans="1:22" ht="24.95" customHeight="1">
      <c r="A19" s="392">
        <v>22108</v>
      </c>
      <c r="B19" s="246" t="s">
        <v>93</v>
      </c>
      <c r="C19" s="246"/>
      <c r="D19" s="246"/>
      <c r="E19" s="246"/>
      <c r="F19" s="246"/>
      <c r="G19" s="246"/>
      <c r="H19" s="246"/>
      <c r="I19" s="246"/>
      <c r="J19" s="246"/>
      <c r="K19" s="246">
        <v>44688000</v>
      </c>
      <c r="L19" s="246">
        <v>0</v>
      </c>
      <c r="M19" s="246">
        <v>0</v>
      </c>
      <c r="N19" s="246">
        <v>798712000</v>
      </c>
      <c r="O19" s="292"/>
      <c r="P19" s="292"/>
      <c r="Q19" s="246">
        <v>798712000</v>
      </c>
      <c r="R19" s="246">
        <v>798712000</v>
      </c>
      <c r="S19" s="246">
        <v>798712000</v>
      </c>
      <c r="T19" s="246">
        <v>798712000</v>
      </c>
      <c r="U19" s="840">
        <v>950712000</v>
      </c>
      <c r="V19" s="246">
        <f t="shared" si="0"/>
        <v>152000000</v>
      </c>
    </row>
    <row r="20" spans="1:22" ht="24.95" customHeight="1">
      <c r="A20" s="392">
        <v>22109</v>
      </c>
      <c r="B20" s="246" t="s">
        <v>136</v>
      </c>
      <c r="C20" s="246"/>
      <c r="D20" s="246"/>
      <c r="E20" s="246"/>
      <c r="F20" s="246"/>
      <c r="G20" s="246"/>
      <c r="H20" s="246"/>
      <c r="I20" s="246">
        <v>0</v>
      </c>
      <c r="J20" s="246">
        <v>100000000</v>
      </c>
      <c r="K20" s="246">
        <v>1100000000</v>
      </c>
      <c r="L20" s="295">
        <v>6951963</v>
      </c>
      <c r="M20" s="295">
        <f>6951963</f>
        <v>6951963</v>
      </c>
      <c r="N20" s="295">
        <f>6951963</f>
        <v>6951963</v>
      </c>
      <c r="O20" s="292"/>
      <c r="P20" s="292"/>
      <c r="Q20" s="295">
        <f>6951963</f>
        <v>6951963</v>
      </c>
      <c r="R20" s="295">
        <f>6951963</f>
        <v>6951963</v>
      </c>
      <c r="S20" s="295">
        <f>6951963</f>
        <v>6951963</v>
      </c>
      <c r="T20" s="295">
        <f>6951963</f>
        <v>6951963</v>
      </c>
      <c r="U20" s="872">
        <f>6951963</f>
        <v>6951963</v>
      </c>
      <c r="V20" s="246">
        <f t="shared" si="0"/>
        <v>0</v>
      </c>
    </row>
    <row r="21" spans="1:22" ht="24.95" customHeight="1">
      <c r="A21" s="392">
        <v>22112</v>
      </c>
      <c r="B21" s="246" t="s">
        <v>35</v>
      </c>
      <c r="C21" s="246">
        <v>30000000</v>
      </c>
      <c r="D21" s="246">
        <v>20000000</v>
      </c>
      <c r="E21" s="246">
        <v>20000000</v>
      </c>
      <c r="F21" s="246">
        <v>20000000</v>
      </c>
      <c r="G21" s="246">
        <v>20000000</v>
      </c>
      <c r="H21" s="246">
        <v>20000000</v>
      </c>
      <c r="I21" s="246">
        <v>18620000</v>
      </c>
      <c r="J21" s="246">
        <v>120000000</v>
      </c>
      <c r="K21" s="280">
        <f>SUM(K6:K20)</f>
        <v>2945576739</v>
      </c>
      <c r="L21" s="246">
        <v>240000000</v>
      </c>
      <c r="M21" s="246">
        <f>240000000</f>
        <v>240000000</v>
      </c>
      <c r="N21" s="246">
        <f>240000000</f>
        <v>240000000</v>
      </c>
      <c r="O21" s="292"/>
      <c r="P21" s="292"/>
      <c r="Q21" s="246">
        <f>240000000</f>
        <v>240000000</v>
      </c>
      <c r="R21" s="246">
        <f>240000000</f>
        <v>240000000</v>
      </c>
      <c r="S21" s="246">
        <f>240000000</f>
        <v>240000000</v>
      </c>
      <c r="T21" s="246">
        <f>240000000</f>
        <v>240000000</v>
      </c>
      <c r="U21" s="840">
        <f>240000000</f>
        <v>240000000</v>
      </c>
      <c r="V21" s="246">
        <f t="shared" si="0"/>
        <v>0</v>
      </c>
    </row>
    <row r="22" spans="1:22" ht="24.95" customHeight="1">
      <c r="A22" s="392">
        <v>22113</v>
      </c>
      <c r="B22" s="246" t="s">
        <v>262</v>
      </c>
      <c r="C22" s="246">
        <v>0</v>
      </c>
      <c r="D22" s="246">
        <v>0</v>
      </c>
      <c r="E22" s="246">
        <v>0</v>
      </c>
      <c r="F22" s="246">
        <v>50400000</v>
      </c>
      <c r="G22" s="246">
        <v>0</v>
      </c>
      <c r="H22" s="246">
        <v>0</v>
      </c>
      <c r="I22" s="246">
        <v>0</v>
      </c>
      <c r="J22" s="246">
        <v>483300000</v>
      </c>
      <c r="K22" s="246"/>
      <c r="L22" s="246">
        <v>230000000</v>
      </c>
      <c r="M22" s="246">
        <f>230000000</f>
        <v>230000000</v>
      </c>
      <c r="N22" s="246">
        <f>230000000</f>
        <v>230000000</v>
      </c>
      <c r="O22" s="292"/>
      <c r="P22" s="292"/>
      <c r="Q22" s="246">
        <f>230000000</f>
        <v>230000000</v>
      </c>
      <c r="R22" s="246">
        <f>230000000</f>
        <v>230000000</v>
      </c>
      <c r="S22" s="246">
        <f>230000000</f>
        <v>230000000</v>
      </c>
      <c r="T22" s="246">
        <f>230000000</f>
        <v>230000000</v>
      </c>
      <c r="U22" s="840">
        <f>230000000</f>
        <v>230000000</v>
      </c>
      <c r="V22" s="246">
        <f t="shared" si="0"/>
        <v>0</v>
      </c>
    </row>
    <row r="23" spans="1:22" ht="24.95" customHeight="1">
      <c r="A23" s="392">
        <v>22116</v>
      </c>
      <c r="B23" s="246" t="s">
        <v>303</v>
      </c>
      <c r="C23" s="246"/>
      <c r="D23" s="246"/>
      <c r="E23" s="246"/>
      <c r="F23" s="246"/>
      <c r="G23" s="246"/>
      <c r="H23" s="246"/>
      <c r="I23" s="246">
        <v>0</v>
      </c>
      <c r="J23" s="246"/>
      <c r="K23" s="246">
        <v>0</v>
      </c>
      <c r="L23" s="246">
        <v>90000000</v>
      </c>
      <c r="M23" s="246">
        <v>90000000</v>
      </c>
      <c r="N23" s="246">
        <v>90000000</v>
      </c>
      <c r="O23" s="292"/>
      <c r="P23" s="292"/>
      <c r="Q23" s="246">
        <v>90000000</v>
      </c>
      <c r="R23" s="246">
        <v>90000000</v>
      </c>
      <c r="S23" s="246">
        <v>90000000</v>
      </c>
      <c r="T23" s="246">
        <v>90000000</v>
      </c>
      <c r="U23" s="840">
        <v>90000000</v>
      </c>
      <c r="V23" s="246">
        <f t="shared" si="0"/>
        <v>0</v>
      </c>
    </row>
    <row r="24" spans="1:22" ht="24.95" customHeight="1">
      <c r="A24" s="392">
        <v>22132</v>
      </c>
      <c r="B24" s="246" t="s">
        <v>187</v>
      </c>
      <c r="C24" s="292"/>
      <c r="D24" s="292">
        <v>0</v>
      </c>
      <c r="E24" s="292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40000000</v>
      </c>
      <c r="K24" s="246">
        <v>0</v>
      </c>
      <c r="L24" s="246">
        <v>798712000</v>
      </c>
      <c r="M24" s="246">
        <f>798712000</f>
        <v>798712000</v>
      </c>
      <c r="N24" s="246">
        <v>0</v>
      </c>
      <c r="O24" s="292"/>
      <c r="P24" s="292"/>
      <c r="Q24" s="246">
        <v>0</v>
      </c>
      <c r="R24" s="246">
        <v>0</v>
      </c>
      <c r="S24" s="246">
        <v>0</v>
      </c>
      <c r="T24" s="246">
        <v>0</v>
      </c>
      <c r="U24" s="840">
        <v>0</v>
      </c>
      <c r="V24" s="246">
        <f t="shared" si="0"/>
        <v>0</v>
      </c>
    </row>
    <row r="25" spans="1:22" ht="24.95" customHeight="1">
      <c r="A25" s="392">
        <v>22134</v>
      </c>
      <c r="B25" s="246" t="s">
        <v>391</v>
      </c>
      <c r="C25" s="292"/>
      <c r="D25" s="292"/>
      <c r="E25" s="292"/>
      <c r="F25" s="246"/>
      <c r="G25" s="246"/>
      <c r="H25" s="246"/>
      <c r="I25" s="246"/>
      <c r="J25" s="246"/>
      <c r="K25" s="246"/>
      <c r="L25" s="246"/>
      <c r="M25" s="246"/>
      <c r="N25" s="246"/>
      <c r="O25" s="292"/>
      <c r="P25" s="292"/>
      <c r="Q25" s="246"/>
      <c r="R25" s="246"/>
      <c r="S25" s="246"/>
      <c r="T25" s="246"/>
      <c r="U25" s="840">
        <v>250000000</v>
      </c>
      <c r="V25" s="246">
        <f t="shared" si="0"/>
        <v>250000000</v>
      </c>
    </row>
    <row r="26" spans="1:22" ht="24.95" customHeight="1">
      <c r="A26" s="392"/>
      <c r="B26" s="280" t="s">
        <v>92</v>
      </c>
      <c r="C26" s="246">
        <v>10000000</v>
      </c>
      <c r="D26" s="246">
        <v>9334014</v>
      </c>
      <c r="E26" s="246">
        <v>9334014</v>
      </c>
      <c r="F26" s="246">
        <v>9334014</v>
      </c>
      <c r="G26" s="246">
        <v>7467200</v>
      </c>
      <c r="H26" s="246">
        <v>9334000</v>
      </c>
      <c r="I26" s="246">
        <v>6951963</v>
      </c>
      <c r="J26" s="246">
        <v>6951963</v>
      </c>
      <c r="K26" s="280" t="e">
        <f>SUM(#REF!)</f>
        <v>#REF!</v>
      </c>
      <c r="L26" s="280">
        <f>SUM(L13:L24)</f>
        <v>1597663963</v>
      </c>
      <c r="M26" s="280">
        <f>SUM(M12:M24)</f>
        <v>1599138363</v>
      </c>
      <c r="N26" s="280">
        <f ca="1">SUM(N12:N30)</f>
        <v>2547138363</v>
      </c>
      <c r="O26" s="292"/>
      <c r="P26" s="292"/>
      <c r="Q26" s="280">
        <f>SUM(Q12:Q24)</f>
        <v>1457138363</v>
      </c>
      <c r="R26" s="280">
        <f>SUM(R12:R24)</f>
        <v>1457138363</v>
      </c>
      <c r="S26" s="280">
        <f>SUM(S12:S24)</f>
        <v>1457138363</v>
      </c>
      <c r="T26" s="280">
        <f>SUM(T12:T24)</f>
        <v>1617138363</v>
      </c>
      <c r="U26" s="851">
        <f>SUM(U12:U25)</f>
        <v>2019138363</v>
      </c>
      <c r="V26" s="280">
        <f t="shared" si="0"/>
        <v>402000000</v>
      </c>
    </row>
    <row r="27" spans="1:22" ht="24.95" customHeight="1">
      <c r="A27" s="476">
        <v>2220</v>
      </c>
      <c r="B27" s="280" t="s">
        <v>240</v>
      </c>
      <c r="C27" s="246">
        <v>20000000</v>
      </c>
      <c r="D27" s="246">
        <v>18627958</v>
      </c>
      <c r="E27" s="246">
        <v>18627958</v>
      </c>
      <c r="F27" s="246">
        <v>18627958</v>
      </c>
      <c r="G27" s="246">
        <v>80000000</v>
      </c>
      <c r="H27" s="246">
        <v>120000000</v>
      </c>
      <c r="I27" s="246">
        <v>163856000</v>
      </c>
      <c r="J27" s="246">
        <v>180000000</v>
      </c>
      <c r="K27" s="246"/>
      <c r="L27" s="246"/>
      <c r="M27" s="246"/>
      <c r="N27" s="246"/>
      <c r="O27" s="292"/>
      <c r="P27" s="292"/>
      <c r="Q27" s="246">
        <v>0</v>
      </c>
      <c r="R27" s="246">
        <v>0</v>
      </c>
      <c r="S27" s="246">
        <v>0</v>
      </c>
      <c r="T27" s="246">
        <v>0</v>
      </c>
      <c r="U27" s="840">
        <v>0</v>
      </c>
      <c r="V27" s="246">
        <f t="shared" si="0"/>
        <v>0</v>
      </c>
    </row>
    <row r="28" spans="1:22" ht="24.95" customHeight="1">
      <c r="A28" s="392">
        <v>22201</v>
      </c>
      <c r="B28" s="246" t="s">
        <v>132</v>
      </c>
      <c r="C28" s="246">
        <v>60000000</v>
      </c>
      <c r="D28" s="246">
        <v>180000000</v>
      </c>
      <c r="E28" s="246">
        <v>180000000</v>
      </c>
      <c r="F28" s="246">
        <v>180000000</v>
      </c>
      <c r="G28" s="246">
        <v>360000000</v>
      </c>
      <c r="H28" s="246">
        <v>360000000</v>
      </c>
      <c r="I28" s="246">
        <f>327712000-80000000</f>
        <v>247712000</v>
      </c>
      <c r="J28" s="246">
        <v>247712000</v>
      </c>
      <c r="K28" s="246">
        <v>360000000</v>
      </c>
      <c r="L28" s="246">
        <v>0</v>
      </c>
      <c r="M28" s="246">
        <v>0</v>
      </c>
      <c r="N28" s="246">
        <v>0</v>
      </c>
      <c r="O28" s="292"/>
      <c r="P28" s="292"/>
      <c r="Q28" s="246">
        <v>0</v>
      </c>
      <c r="R28" s="246">
        <v>1500000000</v>
      </c>
      <c r="S28" s="246">
        <v>750000000</v>
      </c>
      <c r="T28" s="246">
        <v>1000000000</v>
      </c>
      <c r="U28" s="840">
        <v>1000000000</v>
      </c>
      <c r="V28" s="246">
        <f t="shared" si="0"/>
        <v>0</v>
      </c>
    </row>
    <row r="29" spans="1:22" ht="24.95" customHeight="1">
      <c r="A29" s="392">
        <v>22202</v>
      </c>
      <c r="B29" s="246" t="s">
        <v>133</v>
      </c>
      <c r="C29" s="246">
        <v>60000000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80000000</v>
      </c>
      <c r="J29" s="246">
        <v>80000000</v>
      </c>
      <c r="K29" s="246">
        <v>0</v>
      </c>
      <c r="L29" s="246">
        <v>2313040000</v>
      </c>
      <c r="M29" s="246">
        <f>2313040000</f>
        <v>2313040000</v>
      </c>
      <c r="N29" s="246">
        <f>M29*80%</f>
        <v>1850432000</v>
      </c>
      <c r="O29" s="292"/>
      <c r="P29" s="292"/>
      <c r="Q29" s="246">
        <v>1900432000</v>
      </c>
      <c r="R29" s="246">
        <v>1900432000</v>
      </c>
      <c r="S29" s="246">
        <v>2055432000</v>
      </c>
      <c r="T29" s="246">
        <v>2355432000</v>
      </c>
      <c r="U29" s="840">
        <v>2355432000</v>
      </c>
      <c r="V29" s="246">
        <f t="shared" si="0"/>
        <v>0</v>
      </c>
    </row>
    <row r="30" spans="1:22" ht="24.95" customHeight="1">
      <c r="A30" s="392">
        <v>22202</v>
      </c>
      <c r="B30" s="246" t="s">
        <v>522</v>
      </c>
      <c r="C30" s="292"/>
      <c r="D30" s="292">
        <v>0</v>
      </c>
      <c r="E30" s="292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30000000</v>
      </c>
      <c r="K30" s="246">
        <v>120000000</v>
      </c>
      <c r="L30" s="246">
        <v>540000000</v>
      </c>
      <c r="M30" s="246">
        <f>540000000</f>
        <v>540000000</v>
      </c>
      <c r="N30" s="246">
        <f>M30</f>
        <v>540000000</v>
      </c>
      <c r="O30" s="292"/>
      <c r="P30" s="292"/>
      <c r="Q30" s="246">
        <v>600000000</v>
      </c>
      <c r="R30" s="246">
        <v>600000000</v>
      </c>
      <c r="S30" s="246">
        <v>600000000</v>
      </c>
      <c r="T30" s="246">
        <v>600000000</v>
      </c>
      <c r="U30" s="840">
        <v>750000000</v>
      </c>
      <c r="V30" s="246">
        <f t="shared" si="0"/>
        <v>150000000</v>
      </c>
    </row>
    <row r="31" spans="1:22" ht="24.95" customHeight="1">
      <c r="A31" s="392">
        <v>22203</v>
      </c>
      <c r="B31" s="246" t="s">
        <v>127</v>
      </c>
      <c r="C31" s="246">
        <v>13000000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124560000</v>
      </c>
      <c r="J31" s="246">
        <v>171600000</v>
      </c>
      <c r="K31" s="246">
        <v>0</v>
      </c>
      <c r="L31" s="246">
        <v>161720000</v>
      </c>
      <c r="M31" s="246">
        <f>161720000</f>
        <v>161720000</v>
      </c>
      <c r="N31" s="246">
        <f>161720000</f>
        <v>161720000</v>
      </c>
      <c r="O31" s="292"/>
      <c r="P31" s="292"/>
      <c r="Q31" s="246">
        <f>161720000</f>
        <v>161720000</v>
      </c>
      <c r="R31" s="246">
        <f>161720000</f>
        <v>161720000</v>
      </c>
      <c r="S31" s="246">
        <f>161720000</f>
        <v>161720000</v>
      </c>
      <c r="T31" s="246">
        <f>161720000</f>
        <v>161720000</v>
      </c>
      <c r="U31" s="840">
        <f>161720000</f>
        <v>161720000</v>
      </c>
      <c r="V31" s="246">
        <f t="shared" si="0"/>
        <v>0</v>
      </c>
    </row>
    <row r="32" spans="1:22" ht="24.95" customHeight="1">
      <c r="A32" s="392">
        <v>22204</v>
      </c>
      <c r="B32" s="246" t="s">
        <v>128</v>
      </c>
      <c r="C32" s="246"/>
      <c r="D32" s="246"/>
      <c r="E32" s="246"/>
      <c r="F32" s="246"/>
      <c r="G32" s="246"/>
      <c r="H32" s="246"/>
      <c r="I32" s="246">
        <v>0</v>
      </c>
      <c r="J32" s="246">
        <v>300000000</v>
      </c>
      <c r="K32" s="280">
        <f>SUM(K28:K31)</f>
        <v>480000000</v>
      </c>
      <c r="L32" s="246">
        <v>44896000</v>
      </c>
      <c r="M32" s="246">
        <f>44896000</f>
        <v>44896000</v>
      </c>
      <c r="N32" s="246">
        <f>44896000</f>
        <v>44896000</v>
      </c>
      <c r="O32" s="292"/>
      <c r="P32" s="292"/>
      <c r="Q32" s="246">
        <f>44896000</f>
        <v>44896000</v>
      </c>
      <c r="R32" s="246">
        <f>44896000</f>
        <v>44896000</v>
      </c>
      <c r="S32" s="246">
        <f>44896000</f>
        <v>44896000</v>
      </c>
      <c r="T32" s="246">
        <f>44896000</f>
        <v>44896000</v>
      </c>
      <c r="U32" s="840">
        <f>44896000</f>
        <v>44896000</v>
      </c>
      <c r="V32" s="246">
        <f t="shared" si="0"/>
        <v>0</v>
      </c>
    </row>
    <row r="33" spans="1:22" ht="24.95" customHeight="1">
      <c r="A33" s="392">
        <v>22208</v>
      </c>
      <c r="B33" s="246" t="s">
        <v>446</v>
      </c>
      <c r="C33" s="292"/>
      <c r="D33" s="292"/>
      <c r="E33" s="246"/>
      <c r="F33" s="246"/>
      <c r="G33" s="246"/>
      <c r="H33" s="246"/>
      <c r="I33" s="246"/>
      <c r="J33" s="246"/>
      <c r="K33" s="246"/>
      <c r="L33" s="290">
        <v>6900234890</v>
      </c>
      <c r="M33" s="290">
        <v>13723632000</v>
      </c>
      <c r="N33" s="290">
        <v>13715324160</v>
      </c>
      <c r="O33" s="292"/>
      <c r="P33" s="292"/>
      <c r="Q33" s="290">
        <v>13715324160</v>
      </c>
      <c r="R33" s="290">
        <v>13450231824</v>
      </c>
      <c r="S33" s="290">
        <v>13823970091</v>
      </c>
      <c r="T33" s="290">
        <v>15245268000</v>
      </c>
      <c r="U33" s="858">
        <v>15468984000</v>
      </c>
      <c r="V33" s="246">
        <f t="shared" si="0"/>
        <v>223716000</v>
      </c>
    </row>
    <row r="34" spans="1:22" ht="24.95" customHeight="1">
      <c r="A34" s="392">
        <v>22210</v>
      </c>
      <c r="B34" s="246" t="s">
        <v>270</v>
      </c>
      <c r="C34" s="246"/>
      <c r="D34" s="246"/>
      <c r="E34" s="246"/>
      <c r="F34" s="246"/>
      <c r="G34" s="246"/>
      <c r="H34" s="246"/>
      <c r="I34" s="246">
        <v>0</v>
      </c>
      <c r="J34" s="246">
        <v>50000000</v>
      </c>
      <c r="K34" s="280" t="e">
        <f>K32+K26+#REF!+K21+#REF!</f>
        <v>#REF!</v>
      </c>
      <c r="L34" s="246">
        <v>180000000</v>
      </c>
      <c r="M34" s="246">
        <f>180000000</f>
        <v>180000000</v>
      </c>
      <c r="N34" s="246">
        <f>180000000</f>
        <v>180000000</v>
      </c>
      <c r="O34" s="292"/>
      <c r="P34" s="292"/>
      <c r="Q34" s="246">
        <f>180000000</f>
        <v>180000000</v>
      </c>
      <c r="R34" s="246">
        <f>180000000</f>
        <v>180000000</v>
      </c>
      <c r="S34" s="246">
        <f>180000000</f>
        <v>180000000</v>
      </c>
      <c r="T34" s="246">
        <f>180000000</f>
        <v>180000000</v>
      </c>
      <c r="U34" s="840">
        <f>180000000</f>
        <v>180000000</v>
      </c>
      <c r="V34" s="246">
        <f t="shared" si="0"/>
        <v>0</v>
      </c>
    </row>
    <row r="35" spans="1:22" ht="24.95" customHeight="1">
      <c r="A35" s="392"/>
      <c r="B35" s="280" t="s">
        <v>92</v>
      </c>
      <c r="C35" s="292"/>
      <c r="D35" s="292"/>
      <c r="E35" s="246"/>
      <c r="F35" s="246">
        <f>1386274192-71600000-798000-176160000-12600000</f>
        <v>1125116192</v>
      </c>
      <c r="G35" s="246"/>
      <c r="H35" s="246"/>
      <c r="I35" s="246"/>
      <c r="J35" s="246"/>
      <c r="K35" s="246"/>
      <c r="L35" s="279">
        <f>SUM(L29:L34)</f>
        <v>10139890890</v>
      </c>
      <c r="M35" s="279">
        <f>SUM(M29:M34)</f>
        <v>16963288000</v>
      </c>
      <c r="N35" s="279">
        <f>SUM(N29:N34)</f>
        <v>16492372160</v>
      </c>
      <c r="O35" s="292"/>
      <c r="P35" s="292"/>
      <c r="Q35" s="279">
        <f>SUM(Q28:Q34)</f>
        <v>16602372160</v>
      </c>
      <c r="R35" s="279">
        <f>SUM(R28:R34)</f>
        <v>17837279824</v>
      </c>
      <c r="S35" s="279">
        <f>SUM(S28:S34)</f>
        <v>17616018091</v>
      </c>
      <c r="T35" s="279">
        <f>SUM(T28:T34)</f>
        <v>19587316000</v>
      </c>
      <c r="U35" s="850">
        <f>SUM(U28:U34)</f>
        <v>19961032000</v>
      </c>
      <c r="V35" s="280">
        <f t="shared" si="0"/>
        <v>373716000</v>
      </c>
    </row>
    <row r="36" spans="1:22" ht="24.95" customHeight="1">
      <c r="A36" s="476">
        <v>2230</v>
      </c>
      <c r="B36" s="280" t="s">
        <v>130</v>
      </c>
      <c r="C36" s="292"/>
      <c r="D36" s="292"/>
      <c r="E36" s="246"/>
      <c r="F36" s="246"/>
      <c r="G36" s="246"/>
      <c r="H36" s="246"/>
      <c r="I36" s="246"/>
      <c r="J36" s="246"/>
      <c r="K36" s="246"/>
      <c r="L36" s="292"/>
      <c r="M36" s="292"/>
      <c r="N36" s="292"/>
      <c r="O36" s="292"/>
      <c r="P36" s="292"/>
      <c r="Q36" s="274">
        <v>0</v>
      </c>
      <c r="R36" s="274">
        <v>0</v>
      </c>
      <c r="S36" s="274">
        <v>0</v>
      </c>
      <c r="T36" s="274">
        <v>0</v>
      </c>
      <c r="U36" s="853">
        <v>0</v>
      </c>
      <c r="V36" s="246">
        <f t="shared" si="0"/>
        <v>0</v>
      </c>
    </row>
    <row r="37" spans="1:22" ht="24.95" customHeight="1">
      <c r="A37" s="392">
        <v>22301</v>
      </c>
      <c r="B37" s="246" t="s">
        <v>49</v>
      </c>
      <c r="C37" s="292"/>
      <c r="D37" s="292"/>
      <c r="E37" s="246"/>
      <c r="F37" s="246"/>
      <c r="G37" s="246"/>
      <c r="H37" s="246"/>
      <c r="I37" s="246"/>
      <c r="J37" s="246"/>
      <c r="K37" s="246"/>
      <c r="L37" s="290">
        <v>600000000</v>
      </c>
      <c r="M37" s="290">
        <f>600000000</f>
        <v>600000000</v>
      </c>
      <c r="N37" s="290">
        <f>600000000</f>
        <v>600000000</v>
      </c>
      <c r="O37" s="292"/>
      <c r="P37" s="292"/>
      <c r="Q37" s="290">
        <f>600000000</f>
        <v>600000000</v>
      </c>
      <c r="R37" s="290">
        <f>600000000</f>
        <v>600000000</v>
      </c>
      <c r="S37" s="290">
        <f>800000000</f>
        <v>800000000</v>
      </c>
      <c r="T37" s="290">
        <v>950000000</v>
      </c>
      <c r="U37" s="858">
        <v>1090000000</v>
      </c>
      <c r="V37" s="246">
        <f t="shared" si="0"/>
        <v>140000000</v>
      </c>
    </row>
    <row r="38" spans="1:22" ht="24.95" customHeight="1">
      <c r="A38" s="392">
        <v>22302</v>
      </c>
      <c r="B38" s="246" t="s">
        <v>249</v>
      </c>
      <c r="C38" s="292"/>
      <c r="D38" s="292"/>
      <c r="E38" s="246"/>
      <c r="F38" s="246"/>
      <c r="G38" s="246"/>
      <c r="H38" s="246"/>
      <c r="I38" s="246"/>
      <c r="J38" s="246"/>
      <c r="K38" s="246"/>
      <c r="L38" s="290">
        <v>60000000</v>
      </c>
      <c r="M38" s="290">
        <f>60000000</f>
        <v>60000000</v>
      </c>
      <c r="N38" s="290">
        <f>60000000</f>
        <v>60000000</v>
      </c>
      <c r="O38" s="292"/>
      <c r="P38" s="292"/>
      <c r="Q38" s="290">
        <f>60000000</f>
        <v>60000000</v>
      </c>
      <c r="R38" s="290">
        <f>60000000</f>
        <v>60000000</v>
      </c>
      <c r="S38" s="290">
        <f>60000000</f>
        <v>60000000</v>
      </c>
      <c r="T38" s="290">
        <f>60000000</f>
        <v>60000000</v>
      </c>
      <c r="U38" s="858">
        <f>60000000</f>
        <v>60000000</v>
      </c>
      <c r="V38" s="246">
        <f t="shared" si="0"/>
        <v>0</v>
      </c>
    </row>
    <row r="39" spans="1:22" ht="24.95" customHeight="1">
      <c r="A39" s="392">
        <v>22313</v>
      </c>
      <c r="B39" s="246" t="s">
        <v>251</v>
      </c>
      <c r="C39" s="292"/>
      <c r="D39" s="292"/>
      <c r="E39" s="246"/>
      <c r="F39" s="246"/>
      <c r="G39" s="246"/>
      <c r="H39" s="246"/>
      <c r="I39" s="246"/>
      <c r="J39" s="246"/>
      <c r="K39" s="246"/>
      <c r="L39" s="274">
        <v>0</v>
      </c>
      <c r="M39" s="274">
        <v>0</v>
      </c>
      <c r="N39" s="274">
        <v>0</v>
      </c>
      <c r="O39" s="292"/>
      <c r="P39" s="292"/>
      <c r="Q39" s="274">
        <v>0</v>
      </c>
      <c r="R39" s="274">
        <v>0</v>
      </c>
      <c r="S39" s="274">
        <v>0</v>
      </c>
      <c r="T39" s="274">
        <v>0</v>
      </c>
      <c r="U39" s="853">
        <v>0</v>
      </c>
      <c r="V39" s="246">
        <f t="shared" si="0"/>
        <v>0</v>
      </c>
    </row>
    <row r="40" spans="1:22" ht="24.95" customHeight="1">
      <c r="A40" s="392"/>
      <c r="B40" s="280" t="s">
        <v>92</v>
      </c>
      <c r="C40" s="292"/>
      <c r="D40" s="292"/>
      <c r="E40" s="246"/>
      <c r="F40" s="246"/>
      <c r="G40" s="246"/>
      <c r="H40" s="246"/>
      <c r="I40" s="246"/>
      <c r="J40" s="246"/>
      <c r="K40" s="246"/>
      <c r="L40" s="291">
        <f>SUM(L37:L39)</f>
        <v>660000000</v>
      </c>
      <c r="M40" s="291">
        <f>SUM(M37:M39)</f>
        <v>660000000</v>
      </c>
      <c r="N40" s="291">
        <f>SUM(N37:N39)</f>
        <v>660000000</v>
      </c>
      <c r="O40" s="292"/>
      <c r="P40" s="292"/>
      <c r="Q40" s="291">
        <f>SUM(Q37:Q39)</f>
        <v>660000000</v>
      </c>
      <c r="R40" s="291">
        <f>SUM(R37:R39)</f>
        <v>660000000</v>
      </c>
      <c r="S40" s="291">
        <f>SUM(S37:S39)</f>
        <v>860000000</v>
      </c>
      <c r="T40" s="291">
        <f>SUM(T37:T39)</f>
        <v>1010000000</v>
      </c>
      <c r="U40" s="860">
        <f>SUM(U37:U39)</f>
        <v>1150000000</v>
      </c>
      <c r="V40" s="280">
        <f t="shared" si="0"/>
        <v>140000000</v>
      </c>
    </row>
    <row r="41" spans="1:22" ht="24.95" customHeight="1">
      <c r="A41" s="476">
        <v>270</v>
      </c>
      <c r="B41" s="280" t="s">
        <v>253</v>
      </c>
      <c r="C41" s="292"/>
      <c r="D41" s="292"/>
      <c r="E41" s="246"/>
      <c r="F41" s="246"/>
      <c r="G41" s="246"/>
      <c r="H41" s="246"/>
      <c r="I41" s="246"/>
      <c r="J41" s="246"/>
      <c r="K41" s="246"/>
      <c r="L41" s="292"/>
      <c r="M41" s="292"/>
      <c r="N41" s="292"/>
      <c r="O41" s="292"/>
      <c r="P41" s="292"/>
      <c r="Q41" s="292"/>
      <c r="R41" s="292"/>
      <c r="S41" s="292"/>
      <c r="T41" s="292"/>
      <c r="U41" s="867"/>
      <c r="V41" s="246">
        <f t="shared" si="0"/>
        <v>0</v>
      </c>
    </row>
    <row r="42" spans="1:22" ht="24.95" customHeight="1">
      <c r="A42" s="476">
        <v>2710</v>
      </c>
      <c r="B42" s="280" t="s">
        <v>252</v>
      </c>
      <c r="C42" s="292"/>
      <c r="D42" s="292"/>
      <c r="E42" s="246"/>
      <c r="F42" s="246"/>
      <c r="G42" s="246"/>
      <c r="H42" s="246"/>
      <c r="I42" s="246"/>
      <c r="J42" s="246"/>
      <c r="K42" s="246"/>
      <c r="L42" s="292"/>
      <c r="M42" s="292"/>
      <c r="N42" s="292"/>
      <c r="O42" s="292"/>
      <c r="P42" s="292"/>
      <c r="Q42" s="292"/>
      <c r="R42" s="292"/>
      <c r="S42" s="292"/>
      <c r="T42" s="292"/>
      <c r="U42" s="867"/>
      <c r="V42" s="246">
        <f t="shared" si="0"/>
        <v>0</v>
      </c>
    </row>
    <row r="43" spans="1:22" ht="24.95" customHeight="1">
      <c r="A43" s="392">
        <v>27601</v>
      </c>
      <c r="B43" s="246" t="s">
        <v>264</v>
      </c>
      <c r="C43" s="292"/>
      <c r="D43" s="292"/>
      <c r="E43" s="246"/>
      <c r="F43" s="246"/>
      <c r="G43" s="246"/>
      <c r="H43" s="246"/>
      <c r="I43" s="246"/>
      <c r="J43" s="246"/>
      <c r="K43" s="246"/>
      <c r="L43" s="274">
        <v>0</v>
      </c>
      <c r="M43" s="274">
        <v>0</v>
      </c>
      <c r="N43" s="274">
        <v>0</v>
      </c>
      <c r="O43" s="292"/>
      <c r="P43" s="292"/>
      <c r="Q43" s="274">
        <v>0</v>
      </c>
      <c r="R43" s="274">
        <v>0</v>
      </c>
      <c r="S43" s="274">
        <v>0</v>
      </c>
      <c r="T43" s="274">
        <v>0</v>
      </c>
      <c r="U43" s="853">
        <v>0</v>
      </c>
      <c r="V43" s="246">
        <f t="shared" si="0"/>
        <v>0</v>
      </c>
    </row>
    <row r="44" spans="1:22" ht="24.95" customHeight="1">
      <c r="A44" s="392">
        <v>27402</v>
      </c>
      <c r="B44" s="246" t="s">
        <v>265</v>
      </c>
      <c r="C44" s="292"/>
      <c r="D44" s="292"/>
      <c r="E44" s="246"/>
      <c r="F44" s="246"/>
      <c r="G44" s="246"/>
      <c r="H44" s="246"/>
      <c r="I44" s="246"/>
      <c r="J44" s="246"/>
      <c r="K44" s="246"/>
      <c r="L44" s="274">
        <v>0</v>
      </c>
      <c r="M44" s="274">
        <v>0</v>
      </c>
      <c r="N44" s="274"/>
      <c r="O44" s="292"/>
      <c r="P44" s="292"/>
      <c r="Q44" s="274">
        <v>0</v>
      </c>
      <c r="R44" s="274">
        <v>0</v>
      </c>
      <c r="S44" s="274">
        <v>0</v>
      </c>
      <c r="T44" s="274">
        <v>600000000</v>
      </c>
      <c r="U44" s="853">
        <v>300000000</v>
      </c>
      <c r="V44" s="246">
        <f t="shared" si="0"/>
        <v>-300000000</v>
      </c>
    </row>
    <row r="45" spans="1:22" ht="24.95" customHeight="1">
      <c r="A45" s="392">
        <v>27502</v>
      </c>
      <c r="B45" s="246" t="s">
        <v>148</v>
      </c>
      <c r="C45" s="292"/>
      <c r="D45" s="292"/>
      <c r="E45" s="246"/>
      <c r="F45" s="246"/>
      <c r="G45" s="246"/>
      <c r="H45" s="246"/>
      <c r="I45" s="246"/>
      <c r="J45" s="246"/>
      <c r="K45" s="246"/>
      <c r="L45" s="290">
        <v>60000000</v>
      </c>
      <c r="M45" s="290">
        <f>60000000</f>
        <v>60000000</v>
      </c>
      <c r="N45" s="293">
        <v>0</v>
      </c>
      <c r="O45" s="292"/>
      <c r="P45" s="292"/>
      <c r="Q45" s="293">
        <v>0</v>
      </c>
      <c r="R45" s="293">
        <v>0</v>
      </c>
      <c r="S45" s="293">
        <v>0</v>
      </c>
      <c r="T45" s="293">
        <v>0</v>
      </c>
      <c r="U45" s="868">
        <v>0</v>
      </c>
      <c r="V45" s="246">
        <f t="shared" si="0"/>
        <v>0</v>
      </c>
    </row>
    <row r="46" spans="1:22" ht="24.95" customHeight="1">
      <c r="A46" s="392">
        <v>27604</v>
      </c>
      <c r="B46" s="246" t="s">
        <v>149</v>
      </c>
      <c r="C46" s="292"/>
      <c r="D46" s="292"/>
      <c r="E46" s="246"/>
      <c r="F46" s="246"/>
      <c r="G46" s="246"/>
      <c r="H46" s="246"/>
      <c r="I46" s="246"/>
      <c r="J46" s="246"/>
      <c r="K46" s="246"/>
      <c r="L46" s="290">
        <v>140000000</v>
      </c>
      <c r="M46" s="290">
        <f>140000000</f>
        <v>140000000</v>
      </c>
      <c r="N46" s="293">
        <v>0</v>
      </c>
      <c r="O46" s="292"/>
      <c r="P46" s="292"/>
      <c r="Q46" s="293">
        <v>0</v>
      </c>
      <c r="R46" s="293">
        <v>0</v>
      </c>
      <c r="S46" s="293">
        <v>0</v>
      </c>
      <c r="T46" s="293">
        <v>0</v>
      </c>
      <c r="U46" s="868">
        <v>0</v>
      </c>
      <c r="V46" s="246">
        <f t="shared" si="0"/>
        <v>0</v>
      </c>
    </row>
    <row r="47" spans="1:22" ht="24.95" customHeight="1">
      <c r="A47" s="392">
        <v>27608</v>
      </c>
      <c r="B47" s="246" t="s">
        <v>1229</v>
      </c>
      <c r="C47" s="292"/>
      <c r="D47" s="292"/>
      <c r="E47" s="246"/>
      <c r="F47" s="246"/>
      <c r="G47" s="246"/>
      <c r="H47" s="246"/>
      <c r="I47" s="246"/>
      <c r="J47" s="246"/>
      <c r="K47" s="246"/>
      <c r="L47" s="290"/>
      <c r="M47" s="290"/>
      <c r="N47" s="293"/>
      <c r="O47" s="292"/>
      <c r="P47" s="292"/>
      <c r="Q47" s="293"/>
      <c r="R47" s="293"/>
      <c r="S47" s="293">
        <v>0</v>
      </c>
      <c r="T47" s="246">
        <v>350000000</v>
      </c>
      <c r="U47" s="840">
        <v>350000000</v>
      </c>
      <c r="V47" s="246">
        <f t="shared" si="0"/>
        <v>0</v>
      </c>
    </row>
    <row r="48" spans="1:22" ht="24.95" customHeight="1">
      <c r="A48" s="392"/>
      <c r="B48" s="280" t="s">
        <v>92</v>
      </c>
      <c r="C48" s="292"/>
      <c r="D48" s="292"/>
      <c r="E48" s="246"/>
      <c r="F48" s="246"/>
      <c r="G48" s="246"/>
      <c r="H48" s="246"/>
      <c r="I48" s="246"/>
      <c r="J48" s="246"/>
      <c r="K48" s="246"/>
      <c r="L48" s="291">
        <f>SUM(L45:L46)</f>
        <v>200000000</v>
      </c>
      <c r="M48" s="291">
        <f>SUM(M45:M46)</f>
        <v>200000000</v>
      </c>
      <c r="N48" s="314">
        <f>SUM(N45:N46)</f>
        <v>0</v>
      </c>
      <c r="O48" s="292"/>
      <c r="P48" s="292"/>
      <c r="Q48" s="314">
        <f>SUM(Q43:Q46)</f>
        <v>0</v>
      </c>
      <c r="R48" s="314">
        <f>SUM(R43:R46)</f>
        <v>0</v>
      </c>
      <c r="S48" s="314">
        <f>SUM(S43:S47)</f>
        <v>0</v>
      </c>
      <c r="T48" s="280">
        <f>SUM(T43:T47)</f>
        <v>950000000</v>
      </c>
      <c r="U48" s="851">
        <f>SUM(U43:U47)</f>
        <v>650000000</v>
      </c>
      <c r="V48" s="280">
        <f t="shared" si="0"/>
        <v>-300000000</v>
      </c>
    </row>
    <row r="49" spans="1:22" ht="24.95" customHeight="1">
      <c r="A49" s="476">
        <v>2510</v>
      </c>
      <c r="B49" s="280" t="s">
        <v>1297</v>
      </c>
      <c r="C49" s="292"/>
      <c r="D49" s="292"/>
      <c r="E49" s="246"/>
      <c r="F49" s="246"/>
      <c r="G49" s="246"/>
      <c r="H49" s="246"/>
      <c r="I49" s="246"/>
      <c r="J49" s="246"/>
      <c r="K49" s="246"/>
      <c r="L49" s="291"/>
      <c r="M49" s="291"/>
      <c r="N49" s="314"/>
      <c r="O49" s="292"/>
      <c r="P49" s="292"/>
      <c r="Q49" s="314"/>
      <c r="R49" s="314"/>
      <c r="S49" s="314"/>
      <c r="T49" s="280"/>
      <c r="U49" s="851"/>
      <c r="V49" s="246">
        <f t="shared" si="0"/>
        <v>0</v>
      </c>
    </row>
    <row r="50" spans="1:22" ht="24.95" customHeight="1">
      <c r="A50" s="392">
        <v>25102</v>
      </c>
      <c r="B50" s="246" t="s">
        <v>302</v>
      </c>
      <c r="C50" s="292"/>
      <c r="D50" s="292"/>
      <c r="E50" s="246"/>
      <c r="F50" s="246"/>
      <c r="G50" s="246"/>
      <c r="H50" s="246"/>
      <c r="I50" s="246"/>
      <c r="J50" s="246"/>
      <c r="K50" s="246"/>
      <c r="L50" s="290"/>
      <c r="M50" s="290"/>
      <c r="N50" s="293"/>
      <c r="O50" s="292"/>
      <c r="P50" s="292"/>
      <c r="Q50" s="293"/>
      <c r="R50" s="293"/>
      <c r="S50" s="246">
        <v>550000000</v>
      </c>
      <c r="T50" s="246">
        <v>550000000</v>
      </c>
      <c r="U50" s="840">
        <v>100000000</v>
      </c>
      <c r="V50" s="246">
        <f t="shared" si="0"/>
        <v>-450000000</v>
      </c>
    </row>
    <row r="51" spans="1:22" ht="24.95" customHeight="1">
      <c r="A51" s="392"/>
      <c r="B51" s="280" t="s">
        <v>92</v>
      </c>
      <c r="C51" s="292"/>
      <c r="D51" s="292"/>
      <c r="E51" s="246"/>
      <c r="F51" s="246"/>
      <c r="G51" s="246"/>
      <c r="H51" s="246"/>
      <c r="I51" s="246"/>
      <c r="J51" s="246"/>
      <c r="K51" s="246"/>
      <c r="L51" s="291"/>
      <c r="M51" s="291"/>
      <c r="N51" s="314"/>
      <c r="O51" s="292"/>
      <c r="P51" s="292"/>
      <c r="Q51" s="314"/>
      <c r="R51" s="314"/>
      <c r="S51" s="314">
        <f>SUM(S50)</f>
        <v>550000000</v>
      </c>
      <c r="T51" s="280">
        <f>SUM(T50)</f>
        <v>550000000</v>
      </c>
      <c r="U51" s="851">
        <f>SUM(U50)</f>
        <v>100000000</v>
      </c>
      <c r="V51" s="246">
        <f t="shared" si="0"/>
        <v>-450000000</v>
      </c>
    </row>
    <row r="52" spans="1:22" ht="24.95" customHeight="1">
      <c r="A52" s="476">
        <v>2810</v>
      </c>
      <c r="B52" s="280" t="s">
        <v>1339</v>
      </c>
      <c r="C52" s="292"/>
      <c r="D52" s="292"/>
      <c r="E52" s="246"/>
      <c r="F52" s="246"/>
      <c r="G52" s="246"/>
      <c r="H52" s="246"/>
      <c r="I52" s="246"/>
      <c r="J52" s="246"/>
      <c r="K52" s="246"/>
      <c r="L52" s="291"/>
      <c r="M52" s="291"/>
      <c r="N52" s="314"/>
      <c r="O52" s="292"/>
      <c r="P52" s="292"/>
      <c r="Q52" s="314"/>
      <c r="R52" s="314"/>
      <c r="S52" s="314"/>
      <c r="T52" s="280"/>
      <c r="U52" s="851"/>
      <c r="V52" s="246">
        <f t="shared" si="0"/>
        <v>0</v>
      </c>
    </row>
    <row r="53" spans="1:22" ht="24.95" customHeight="1">
      <c r="A53" s="392">
        <v>28102</v>
      </c>
      <c r="B53" s="246" t="s">
        <v>1340</v>
      </c>
      <c r="C53" s="292"/>
      <c r="D53" s="292"/>
      <c r="E53" s="246"/>
      <c r="F53" s="246"/>
      <c r="G53" s="246"/>
      <c r="H53" s="246"/>
      <c r="I53" s="246"/>
      <c r="J53" s="246"/>
      <c r="K53" s="246"/>
      <c r="L53" s="291"/>
      <c r="M53" s="291"/>
      <c r="N53" s="314"/>
      <c r="O53" s="292"/>
      <c r="P53" s="292"/>
      <c r="Q53" s="314"/>
      <c r="R53" s="314"/>
      <c r="S53" s="314"/>
      <c r="T53" s="280"/>
      <c r="U53" s="840">
        <v>350000000</v>
      </c>
      <c r="V53" s="246">
        <f t="shared" si="0"/>
        <v>350000000</v>
      </c>
    </row>
    <row r="54" spans="1:22" ht="24.95" customHeight="1">
      <c r="A54" s="392"/>
      <c r="B54" s="280" t="s">
        <v>92</v>
      </c>
      <c r="C54" s="292"/>
      <c r="D54" s="292"/>
      <c r="E54" s="246"/>
      <c r="F54" s="246"/>
      <c r="G54" s="246"/>
      <c r="H54" s="246"/>
      <c r="I54" s="246"/>
      <c r="J54" s="246"/>
      <c r="K54" s="246"/>
      <c r="L54" s="291"/>
      <c r="M54" s="291"/>
      <c r="N54" s="314"/>
      <c r="O54" s="292"/>
      <c r="P54" s="292"/>
      <c r="Q54" s="314"/>
      <c r="R54" s="314"/>
      <c r="S54" s="314"/>
      <c r="T54" s="280"/>
      <c r="U54" s="851">
        <f>SUM(U53)</f>
        <v>350000000</v>
      </c>
      <c r="V54" s="280">
        <f t="shared" si="0"/>
        <v>350000000</v>
      </c>
    </row>
    <row r="55" spans="1:22" ht="24.95" customHeight="1">
      <c r="A55" s="392"/>
      <c r="B55" s="280" t="s">
        <v>37</v>
      </c>
      <c r="C55" s="292"/>
      <c r="D55" s="292"/>
      <c r="E55" s="246"/>
      <c r="F55" s="246"/>
      <c r="G55" s="246"/>
      <c r="H55" s="246"/>
      <c r="I55" s="246"/>
      <c r="J55" s="246"/>
      <c r="K55" s="246"/>
      <c r="L55" s="279">
        <f>L48+L40+L35+L26+L6</f>
        <v>32972078053</v>
      </c>
      <c r="M55" s="279">
        <f>M48+M40+M35+M26+M6</f>
        <v>59996703163</v>
      </c>
      <c r="N55" s="279">
        <f ca="1">N48+N40+N35+N26+N6</f>
        <v>59808328123</v>
      </c>
      <c r="O55" s="292"/>
      <c r="P55" s="292"/>
      <c r="Q55" s="279">
        <f>Q48+Q40+Q35+Q26+Q6</f>
        <v>59268328123</v>
      </c>
      <c r="R55" s="279">
        <f>R48+R40+R35+R26+R6</f>
        <v>67232152587</v>
      </c>
      <c r="S55" s="279">
        <f>S48+S40+S35+S26+S6+S9+S51</f>
        <v>76754310054</v>
      </c>
      <c r="T55" s="279">
        <f>T48+T40+T35+T26+T6+T9+T51</f>
        <v>85161235803</v>
      </c>
      <c r="U55" s="850">
        <f>U48+U40+U35+U26+U6+U9+U51+U54</f>
        <v>95074777755</v>
      </c>
      <c r="V55" s="280">
        <f>U55-T55</f>
        <v>9913541952</v>
      </c>
    </row>
  </sheetData>
  <phoneticPr fontId="0" type="noConversion"/>
  <printOptions gridLines="1"/>
  <pageMargins left="0.76" right="0.36" top="0.73" bottom="0.46" header="0.19" footer="0.17"/>
  <pageSetup scale="50" orientation="portrait" r:id="rId1"/>
  <headerFooter alignWithMargins="0">
    <oddHeader xml:space="preserve">&amp;C&amp;"Algerian,Bold"&amp;36Ciidanka Booliska </oddHeader>
    <oddFooter>&amp;C&amp;"Times New Roman,Bold"&amp;12           &amp;R&amp;"Times New Roman,Bold"&amp;14 &amp;16 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30" zoomScale="60" zoomScaleNormal="75" zoomScalePageLayoutView="70" workbookViewId="0">
      <selection activeCell="O50" sqref="O50"/>
    </sheetView>
  </sheetViews>
  <sheetFormatPr defaultRowHeight="27.95" customHeight="1"/>
  <cols>
    <col min="1" max="1" width="21.6640625" style="546" bestFit="1" customWidth="1"/>
    <col min="2" max="2" width="80.1640625" style="515" customWidth="1"/>
    <col min="3" max="5" width="20" style="515" hidden="1" customWidth="1"/>
    <col min="6" max="6" width="7.1640625" style="515" hidden="1" customWidth="1"/>
    <col min="7" max="7" width="21.5" style="515" hidden="1" customWidth="1"/>
    <col min="8" max="8" width="25.33203125" style="515" hidden="1" customWidth="1"/>
    <col min="9" max="9" width="27.6640625" style="515" hidden="1" customWidth="1"/>
    <col min="10" max="10" width="27.5" style="515" hidden="1" customWidth="1"/>
    <col min="11" max="11" width="0.33203125" style="515" hidden="1" customWidth="1"/>
    <col min="12" max="12" width="27.5" style="515" hidden="1" customWidth="1"/>
    <col min="13" max="13" width="35.33203125" style="515" hidden="1" customWidth="1"/>
    <col min="14" max="15" width="35.33203125" style="515" customWidth="1"/>
    <col min="16" max="16" width="35.33203125" style="695" customWidth="1"/>
    <col min="17" max="16384" width="9.33203125" style="515"/>
  </cols>
  <sheetData>
    <row r="1" spans="1:18" ht="27.95" customHeight="1">
      <c r="A1" s="544" t="s">
        <v>40</v>
      </c>
      <c r="B1" s="545" t="s">
        <v>999</v>
      </c>
      <c r="C1" s="478"/>
      <c r="D1" s="478"/>
      <c r="E1" s="478"/>
      <c r="F1" s="478"/>
      <c r="G1" s="478"/>
      <c r="H1" s="478"/>
      <c r="I1" s="478"/>
      <c r="J1" s="292"/>
      <c r="K1" s="292"/>
      <c r="L1" s="292"/>
      <c r="M1" s="292"/>
      <c r="N1" s="292"/>
      <c r="O1" s="292"/>
      <c r="P1" s="246"/>
    </row>
    <row r="2" spans="1:18" ht="27.95" customHeight="1">
      <c r="A2" s="544" t="s">
        <v>25</v>
      </c>
      <c r="B2" s="478" t="s">
        <v>26</v>
      </c>
      <c r="C2" s="482" t="s">
        <v>57</v>
      </c>
      <c r="D2" s="482" t="s">
        <v>64</v>
      </c>
      <c r="E2" s="482" t="s">
        <v>103</v>
      </c>
      <c r="F2" s="482" t="s">
        <v>107</v>
      </c>
      <c r="G2" s="482" t="s">
        <v>115</v>
      </c>
      <c r="H2" s="482" t="s">
        <v>151</v>
      </c>
      <c r="I2" s="482" t="s">
        <v>257</v>
      </c>
      <c r="J2" s="482" t="s">
        <v>440</v>
      </c>
      <c r="K2" s="482" t="s">
        <v>806</v>
      </c>
      <c r="L2" s="482" t="s">
        <v>872</v>
      </c>
      <c r="M2" s="482" t="s">
        <v>975</v>
      </c>
      <c r="N2" s="482" t="s">
        <v>1162</v>
      </c>
      <c r="O2" s="482" t="s">
        <v>1322</v>
      </c>
      <c r="P2" s="286" t="s">
        <v>56</v>
      </c>
    </row>
    <row r="3" spans="1:18" ht="27.95" customHeight="1">
      <c r="A3" s="476">
        <v>210</v>
      </c>
      <c r="B3" s="280" t="s">
        <v>137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46"/>
    </row>
    <row r="4" spans="1:18" ht="27.95" customHeight="1">
      <c r="A4" s="476">
        <v>2110</v>
      </c>
      <c r="B4" s="280" t="s">
        <v>213</v>
      </c>
      <c r="C4" s="246">
        <v>0</v>
      </c>
      <c r="D4" s="246">
        <v>736848000</v>
      </c>
      <c r="E4" s="246">
        <v>957902400</v>
      </c>
      <c r="F4" s="246">
        <v>1037462400</v>
      </c>
      <c r="G4" s="246">
        <v>1037462400</v>
      </c>
      <c r="H4" s="246"/>
      <c r="I4" s="246"/>
      <c r="J4" s="246"/>
      <c r="K4" s="246"/>
      <c r="L4" s="246"/>
      <c r="M4" s="246"/>
      <c r="N4" s="246"/>
      <c r="O4" s="246"/>
      <c r="P4" s="246"/>
    </row>
    <row r="5" spans="1:18" ht="27.95" customHeight="1">
      <c r="A5" s="392">
        <v>21101</v>
      </c>
      <c r="B5" s="246" t="s">
        <v>484</v>
      </c>
      <c r="C5" s="246">
        <v>0</v>
      </c>
      <c r="D5" s="246">
        <f>66980000+41510500</f>
        <v>108490500</v>
      </c>
      <c r="E5" s="246">
        <v>105409500</v>
      </c>
      <c r="F5" s="246">
        <v>105409500</v>
      </c>
      <c r="G5" s="246">
        <v>0</v>
      </c>
      <c r="H5" s="246">
        <v>1037462400</v>
      </c>
      <c r="I5" s="246">
        <v>3914352000</v>
      </c>
      <c r="J5" s="246">
        <v>3914352000</v>
      </c>
      <c r="K5" s="246">
        <v>4041648000</v>
      </c>
      <c r="L5" s="246">
        <v>4849977600</v>
      </c>
      <c r="M5" s="246">
        <v>5374293120</v>
      </c>
      <c r="N5" s="246">
        <v>6165429120</v>
      </c>
      <c r="O5" s="246">
        <v>6903679104</v>
      </c>
      <c r="P5" s="246">
        <f>O5-N5</f>
        <v>738249984</v>
      </c>
    </row>
    <row r="6" spans="1:18" ht="27.95" customHeight="1">
      <c r="A6" s="392">
        <v>21102</v>
      </c>
      <c r="B6" s="246" t="s">
        <v>29</v>
      </c>
      <c r="C6" s="246">
        <v>0</v>
      </c>
      <c r="D6" s="246">
        <v>66008000</v>
      </c>
      <c r="E6" s="246">
        <v>66008000</v>
      </c>
      <c r="F6" s="246">
        <v>66008000</v>
      </c>
      <c r="G6" s="246">
        <v>108409500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0</v>
      </c>
      <c r="O6" s="246">
        <v>0</v>
      </c>
      <c r="P6" s="246">
        <f t="shared" ref="P6:P50" si="0">O6-N6</f>
        <v>0</v>
      </c>
    </row>
    <row r="7" spans="1:18" ht="27.95" customHeight="1">
      <c r="A7" s="392">
        <v>21103</v>
      </c>
      <c r="B7" s="246" t="s">
        <v>30</v>
      </c>
      <c r="C7" s="246"/>
      <c r="D7" s="246"/>
      <c r="E7" s="246"/>
      <c r="F7" s="246"/>
      <c r="G7" s="246">
        <f>24000000+66008000</f>
        <v>90008000</v>
      </c>
      <c r="H7" s="246">
        <v>108409500</v>
      </c>
      <c r="I7" s="246">
        <f>108409500</f>
        <v>108409500</v>
      </c>
      <c r="J7" s="246">
        <f>108409500</f>
        <v>108409500</v>
      </c>
      <c r="K7" s="246">
        <v>108409500</v>
      </c>
      <c r="L7" s="246">
        <v>0</v>
      </c>
      <c r="M7" s="246">
        <v>228409500</v>
      </c>
      <c r="N7" s="246">
        <v>228409500</v>
      </c>
      <c r="O7" s="246">
        <v>382009500</v>
      </c>
      <c r="P7" s="246">
        <f t="shared" si="0"/>
        <v>153600000</v>
      </c>
    </row>
    <row r="8" spans="1:18" ht="27.95" customHeight="1">
      <c r="A8" s="392">
        <v>21105</v>
      </c>
      <c r="B8" s="246" t="s">
        <v>456</v>
      </c>
      <c r="C8" s="246">
        <v>0</v>
      </c>
      <c r="D8" s="246">
        <v>0</v>
      </c>
      <c r="E8" s="246">
        <v>0</v>
      </c>
      <c r="F8" s="246">
        <v>0</v>
      </c>
      <c r="G8" s="280">
        <f>SUM(G4:G7)</f>
        <v>1235879900</v>
      </c>
      <c r="H8" s="246">
        <v>90008000</v>
      </c>
      <c r="I8" s="246">
        <v>282000000</v>
      </c>
      <c r="J8" s="246">
        <v>282000000</v>
      </c>
      <c r="K8" s="246">
        <v>282000000</v>
      </c>
      <c r="L8" s="246">
        <v>282000000</v>
      </c>
      <c r="M8" s="246">
        <v>288478620</v>
      </c>
      <c r="N8" s="246">
        <v>950400000</v>
      </c>
      <c r="O8" s="246">
        <f>N8</f>
        <v>950400000</v>
      </c>
      <c r="P8" s="246">
        <f t="shared" si="0"/>
        <v>0</v>
      </c>
    </row>
    <row r="9" spans="1:18" ht="27.95" customHeight="1">
      <c r="A9" s="392"/>
      <c r="B9" s="280" t="s">
        <v>92</v>
      </c>
      <c r="C9" s="246">
        <v>0</v>
      </c>
      <c r="D9" s="246">
        <v>20000000</v>
      </c>
      <c r="E9" s="246">
        <v>14896000</v>
      </c>
      <c r="F9" s="246">
        <v>20000000</v>
      </c>
      <c r="G9" s="246">
        <v>22344000</v>
      </c>
      <c r="H9" s="280">
        <f t="shared" ref="H9:L9" si="1">SUM(H5:H8)</f>
        <v>1235879900</v>
      </c>
      <c r="I9" s="280">
        <f t="shared" si="1"/>
        <v>4304761500</v>
      </c>
      <c r="J9" s="280">
        <f t="shared" si="1"/>
        <v>4304761500</v>
      </c>
      <c r="K9" s="280">
        <f t="shared" si="1"/>
        <v>4432057500</v>
      </c>
      <c r="L9" s="280">
        <f t="shared" si="1"/>
        <v>5131977600</v>
      </c>
      <c r="M9" s="280">
        <f>SUM(M5:M8)</f>
        <v>5891181240</v>
      </c>
      <c r="N9" s="280">
        <f>SUM(N5:N8)</f>
        <v>7344238620</v>
      </c>
      <c r="O9" s="851">
        <f>SUM(O5:O8)</f>
        <v>8236088604</v>
      </c>
      <c r="P9" s="280">
        <f t="shared" si="0"/>
        <v>891849984</v>
      </c>
    </row>
    <row r="10" spans="1:18" ht="27.95" customHeight="1">
      <c r="A10" s="476">
        <v>2120</v>
      </c>
      <c r="B10" s="280" t="s">
        <v>1240</v>
      </c>
      <c r="C10" s="246"/>
      <c r="D10" s="246"/>
      <c r="E10" s="246"/>
      <c r="F10" s="246"/>
      <c r="G10" s="246"/>
      <c r="H10" s="280"/>
      <c r="I10" s="280"/>
      <c r="J10" s="280"/>
      <c r="K10" s="280"/>
      <c r="L10" s="280"/>
      <c r="M10" s="280"/>
      <c r="N10" s="280"/>
      <c r="O10" s="851"/>
      <c r="P10" s="246">
        <f t="shared" si="0"/>
        <v>0</v>
      </c>
    </row>
    <row r="11" spans="1:18" ht="27.95" customHeight="1">
      <c r="A11" s="392">
        <v>21204</v>
      </c>
      <c r="B11" s="246" t="s">
        <v>188</v>
      </c>
      <c r="C11" s="246">
        <v>0</v>
      </c>
      <c r="D11" s="246">
        <v>0</v>
      </c>
      <c r="E11" s="246">
        <v>0</v>
      </c>
      <c r="F11" s="246">
        <v>0</v>
      </c>
      <c r="G11" s="246"/>
      <c r="H11" s="246">
        <v>22344000</v>
      </c>
      <c r="I11" s="246">
        <f>22344000*70%</f>
        <v>15640799.999999998</v>
      </c>
      <c r="J11" s="246">
        <f>22344000*70%</f>
        <v>15640799.999999998</v>
      </c>
      <c r="K11" s="246">
        <v>15640799.999999998</v>
      </c>
      <c r="L11" s="246">
        <v>15640799.999999998</v>
      </c>
      <c r="M11" s="246">
        <v>15640799.999999998</v>
      </c>
      <c r="N11" s="246">
        <v>15640799.999999998</v>
      </c>
      <c r="O11" s="840">
        <v>15640799.999999998</v>
      </c>
      <c r="P11" s="246">
        <f t="shared" si="0"/>
        <v>0</v>
      </c>
    </row>
    <row r="12" spans="1:18" s="758" customFormat="1" ht="27.95" customHeight="1">
      <c r="A12" s="476"/>
      <c r="B12" s="280" t="s">
        <v>92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>
        <f>SUM(M11)</f>
        <v>15640799.999999998</v>
      </c>
      <c r="N12" s="280">
        <f>SUM(N11)</f>
        <v>15640799.999999998</v>
      </c>
      <c r="O12" s="851">
        <f>SUM(O11)</f>
        <v>15640799.999999998</v>
      </c>
      <c r="P12" s="280">
        <f t="shared" si="0"/>
        <v>0</v>
      </c>
    </row>
    <row r="13" spans="1:18" ht="27.95" customHeight="1">
      <c r="A13" s="476">
        <v>220</v>
      </c>
      <c r="B13" s="280" t="s">
        <v>225</v>
      </c>
      <c r="C13" s="246">
        <v>0</v>
      </c>
      <c r="D13" s="246">
        <v>0</v>
      </c>
      <c r="E13" s="246">
        <v>0</v>
      </c>
      <c r="F13" s="246">
        <v>0</v>
      </c>
      <c r="G13" s="246">
        <v>5958400</v>
      </c>
      <c r="H13" s="246"/>
      <c r="I13" s="246"/>
      <c r="J13" s="246"/>
      <c r="K13" s="246"/>
      <c r="L13" s="246"/>
      <c r="M13" s="246"/>
      <c r="N13" s="246"/>
      <c r="O13" s="840"/>
      <c r="P13" s="246">
        <f t="shared" si="0"/>
        <v>0</v>
      </c>
    </row>
    <row r="14" spans="1:18" ht="27.95" customHeight="1">
      <c r="A14" s="476">
        <v>2210</v>
      </c>
      <c r="B14" s="280" t="s">
        <v>226</v>
      </c>
      <c r="C14" s="246">
        <v>0</v>
      </c>
      <c r="D14" s="246">
        <v>180755316</v>
      </c>
      <c r="E14" s="246">
        <v>180755316</v>
      </c>
      <c r="F14" s="246">
        <v>274354605</v>
      </c>
      <c r="G14" s="246">
        <v>0</v>
      </c>
      <c r="H14" s="246"/>
      <c r="I14" s="246"/>
      <c r="J14" s="246"/>
      <c r="K14" s="246"/>
      <c r="L14" s="246"/>
      <c r="M14" s="246"/>
      <c r="N14" s="246"/>
      <c r="O14" s="840"/>
      <c r="P14" s="246">
        <f t="shared" si="0"/>
        <v>0</v>
      </c>
    </row>
    <row r="15" spans="1:18" ht="27.95" customHeight="1">
      <c r="A15" s="392">
        <v>22101</v>
      </c>
      <c r="B15" s="246" t="s">
        <v>33</v>
      </c>
      <c r="C15" s="246"/>
      <c r="D15" s="246">
        <v>0</v>
      </c>
      <c r="E15" s="246">
        <v>15791750</v>
      </c>
      <c r="F15" s="246">
        <v>19071000</v>
      </c>
      <c r="G15" s="246">
        <v>0</v>
      </c>
      <c r="H15" s="246">
        <v>17875200</v>
      </c>
      <c r="I15" s="246">
        <f>17875200*70%</f>
        <v>12512640</v>
      </c>
      <c r="J15" s="246">
        <f>17875200*70%</f>
        <v>12512640</v>
      </c>
      <c r="K15" s="246">
        <v>12512640</v>
      </c>
      <c r="L15" s="246">
        <v>12512640</v>
      </c>
      <c r="M15" s="246">
        <v>12512640</v>
      </c>
      <c r="N15" s="246">
        <v>12512640</v>
      </c>
      <c r="O15" s="840">
        <v>12512640</v>
      </c>
      <c r="P15" s="246">
        <f t="shared" si="0"/>
        <v>0</v>
      </c>
      <c r="Q15" s="512"/>
      <c r="R15" s="512"/>
    </row>
    <row r="16" spans="1:18" ht="27.95" customHeight="1">
      <c r="A16" s="392">
        <v>22104</v>
      </c>
      <c r="B16" s="246" t="s">
        <v>157</v>
      </c>
      <c r="C16" s="280">
        <v>0</v>
      </c>
      <c r="D16" s="280">
        <f>SUM(D9:D15)</f>
        <v>200755316</v>
      </c>
      <c r="E16" s="280">
        <f>SUM(E9:E15)</f>
        <v>211443066</v>
      </c>
      <c r="F16" s="280">
        <f>SUM(F9:F15)</f>
        <v>313425605</v>
      </c>
      <c r="G16" s="246">
        <v>7448000</v>
      </c>
      <c r="H16" s="246">
        <v>8937600</v>
      </c>
      <c r="I16" s="246">
        <f>8937600*70%</f>
        <v>6256320</v>
      </c>
      <c r="J16" s="246">
        <f>8937600*70%</f>
        <v>6256320</v>
      </c>
      <c r="K16" s="246">
        <v>6256320</v>
      </c>
      <c r="L16" s="246">
        <v>16256320</v>
      </c>
      <c r="M16" s="246">
        <v>16256320</v>
      </c>
      <c r="N16" s="246">
        <v>16256320</v>
      </c>
      <c r="O16" s="840">
        <v>33000000</v>
      </c>
      <c r="P16" s="246">
        <f t="shared" si="0"/>
        <v>16743680</v>
      </c>
    </row>
    <row r="17" spans="1:16" ht="27.95" customHeight="1">
      <c r="A17" s="392">
        <v>22105</v>
      </c>
      <c r="B17" s="246" t="s">
        <v>884</v>
      </c>
      <c r="C17" s="280"/>
      <c r="D17" s="280"/>
      <c r="E17" s="280"/>
      <c r="F17" s="280"/>
      <c r="G17" s="246"/>
      <c r="H17" s="246"/>
      <c r="I17" s="246"/>
      <c r="J17" s="246"/>
      <c r="K17" s="246">
        <v>0</v>
      </c>
      <c r="L17" s="246">
        <v>33600000</v>
      </c>
      <c r="M17" s="246">
        <v>33600000</v>
      </c>
      <c r="N17" s="246">
        <v>33600000</v>
      </c>
      <c r="O17" s="840">
        <v>33600000</v>
      </c>
      <c r="P17" s="246">
        <f t="shared" si="0"/>
        <v>0</v>
      </c>
    </row>
    <row r="18" spans="1:16" ht="27.95" customHeight="1">
      <c r="A18" s="392">
        <v>22106</v>
      </c>
      <c r="B18" s="246" t="s">
        <v>126</v>
      </c>
      <c r="C18" s="246"/>
      <c r="D18" s="246"/>
      <c r="E18" s="246"/>
      <c r="F18" s="246"/>
      <c r="G18" s="246">
        <v>80000000</v>
      </c>
      <c r="H18" s="246">
        <v>22344000</v>
      </c>
      <c r="I18" s="246">
        <f>22344000*70%</f>
        <v>15640799.999999998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840">
        <v>0</v>
      </c>
      <c r="P18" s="246">
        <f t="shared" si="0"/>
        <v>0</v>
      </c>
    </row>
    <row r="19" spans="1:16" ht="27.95" customHeight="1">
      <c r="A19" s="392">
        <v>22107</v>
      </c>
      <c r="B19" s="246" t="s">
        <v>48</v>
      </c>
      <c r="C19" s="246">
        <v>0</v>
      </c>
      <c r="D19" s="246">
        <v>25000000</v>
      </c>
      <c r="E19" s="246">
        <v>0</v>
      </c>
      <c r="F19" s="246">
        <v>0</v>
      </c>
      <c r="G19" s="280">
        <f>SUM(G9:G18)</f>
        <v>115750400</v>
      </c>
      <c r="H19" s="246">
        <v>9598400</v>
      </c>
      <c r="I19" s="246">
        <f>9598400*70%</f>
        <v>6718880</v>
      </c>
      <c r="J19" s="246">
        <f>I19*70%</f>
        <v>4703216</v>
      </c>
      <c r="K19" s="246">
        <v>4703216</v>
      </c>
      <c r="L19" s="246">
        <v>4703216</v>
      </c>
      <c r="M19" s="246">
        <v>4703216</v>
      </c>
      <c r="N19" s="246">
        <v>4703216</v>
      </c>
      <c r="O19" s="840">
        <v>4703216</v>
      </c>
      <c r="P19" s="246">
        <f t="shared" si="0"/>
        <v>0</v>
      </c>
    </row>
    <row r="20" spans="1:16" ht="27.95" customHeight="1">
      <c r="A20" s="392">
        <v>22109</v>
      </c>
      <c r="B20" s="246" t="s">
        <v>136</v>
      </c>
      <c r="C20" s="246">
        <v>0</v>
      </c>
      <c r="D20" s="246">
        <v>60000000</v>
      </c>
      <c r="E20" s="246">
        <v>0</v>
      </c>
      <c r="F20" s="246">
        <v>0</v>
      </c>
      <c r="G20" s="246">
        <v>40000000</v>
      </c>
      <c r="H20" s="246">
        <v>5000000</v>
      </c>
      <c r="I20" s="246">
        <f>5000000*70%</f>
        <v>3500000</v>
      </c>
      <c r="J20" s="246">
        <f>5000000*70%</f>
        <v>3500000</v>
      </c>
      <c r="K20" s="246">
        <v>3500000</v>
      </c>
      <c r="L20" s="246">
        <v>3500000</v>
      </c>
      <c r="M20" s="246">
        <v>3500000</v>
      </c>
      <c r="N20" s="246">
        <v>3500000</v>
      </c>
      <c r="O20" s="840">
        <v>3500000</v>
      </c>
      <c r="P20" s="246">
        <f t="shared" si="0"/>
        <v>0</v>
      </c>
    </row>
    <row r="21" spans="1:16" ht="27.95" customHeight="1">
      <c r="A21" s="392">
        <v>22112</v>
      </c>
      <c r="B21" s="246" t="s">
        <v>35</v>
      </c>
      <c r="C21" s="246">
        <v>0</v>
      </c>
      <c r="D21" s="246">
        <v>0</v>
      </c>
      <c r="E21" s="246">
        <v>0</v>
      </c>
      <c r="F21" s="246">
        <v>0</v>
      </c>
      <c r="G21" s="246">
        <v>300000000</v>
      </c>
      <c r="H21" s="246">
        <v>37937730</v>
      </c>
      <c r="I21" s="246">
        <f>37937730*70%</f>
        <v>26556411</v>
      </c>
      <c r="J21" s="246">
        <f>37937730*70%</f>
        <v>26556411</v>
      </c>
      <c r="K21" s="246">
        <v>26556411</v>
      </c>
      <c r="L21" s="246">
        <v>26556411</v>
      </c>
      <c r="M21" s="246">
        <v>26556411</v>
      </c>
      <c r="N21" s="246">
        <v>26556411</v>
      </c>
      <c r="O21" s="840">
        <v>52000000</v>
      </c>
      <c r="P21" s="246">
        <f t="shared" si="0"/>
        <v>25443589</v>
      </c>
    </row>
    <row r="22" spans="1:16" ht="27.95" customHeight="1">
      <c r="A22" s="392">
        <v>22137</v>
      </c>
      <c r="B22" s="246" t="s">
        <v>293</v>
      </c>
      <c r="C22" s="246">
        <v>0</v>
      </c>
      <c r="D22" s="246">
        <v>8000000</v>
      </c>
      <c r="E22" s="246">
        <v>8937600</v>
      </c>
      <c r="F22" s="246">
        <v>10000000</v>
      </c>
      <c r="G22" s="280" t="e">
        <f>SUM(#REF!)</f>
        <v>#REF!</v>
      </c>
      <c r="H22" s="246">
        <v>7448000</v>
      </c>
      <c r="I22" s="246">
        <f>7448000*70%</f>
        <v>5213600</v>
      </c>
      <c r="J22" s="246">
        <f>7448000*70%</f>
        <v>5213600</v>
      </c>
      <c r="K22" s="246">
        <v>5213600</v>
      </c>
      <c r="L22" s="246">
        <v>5213600</v>
      </c>
      <c r="M22" s="246">
        <v>5213600</v>
      </c>
      <c r="N22" s="246">
        <v>5213600</v>
      </c>
      <c r="O22" s="840">
        <v>5213600</v>
      </c>
      <c r="P22" s="246">
        <f t="shared" si="0"/>
        <v>0</v>
      </c>
    </row>
    <row r="23" spans="1:16" ht="27.95" customHeight="1">
      <c r="A23" s="392">
        <v>22153</v>
      </c>
      <c r="B23" s="246" t="s">
        <v>834</v>
      </c>
      <c r="C23" s="246"/>
      <c r="D23" s="246"/>
      <c r="E23" s="246"/>
      <c r="F23" s="246"/>
      <c r="G23" s="246"/>
      <c r="H23" s="246">
        <v>0</v>
      </c>
      <c r="I23" s="246">
        <f>200000000*70%</f>
        <v>140000000</v>
      </c>
      <c r="J23" s="246">
        <v>0</v>
      </c>
      <c r="K23" s="246">
        <v>100000000</v>
      </c>
      <c r="L23" s="246">
        <v>100000000</v>
      </c>
      <c r="M23" s="246">
        <v>100000000</v>
      </c>
      <c r="N23" s="246">
        <v>100000000</v>
      </c>
      <c r="O23" s="840">
        <v>200000000</v>
      </c>
      <c r="P23" s="246">
        <f t="shared" si="0"/>
        <v>100000000</v>
      </c>
    </row>
    <row r="24" spans="1:16" ht="27.95" customHeight="1">
      <c r="A24" s="392"/>
      <c r="B24" s="280" t="s">
        <v>92</v>
      </c>
      <c r="C24" s="246">
        <v>0</v>
      </c>
      <c r="D24" s="246">
        <v>8000000</v>
      </c>
      <c r="E24" s="246">
        <v>5958400</v>
      </c>
      <c r="F24" s="246">
        <v>10000000</v>
      </c>
      <c r="G24" s="246">
        <v>0</v>
      </c>
      <c r="H24" s="280">
        <f>SUM(H15:H22)</f>
        <v>109140930</v>
      </c>
      <c r="I24" s="280">
        <f>SUM(I15:I22)</f>
        <v>76398651</v>
      </c>
      <c r="J24" s="280">
        <f>SUM(J15:J22)</f>
        <v>58742187</v>
      </c>
      <c r="K24" s="280">
        <f>SUM(K15:K22)</f>
        <v>58742187</v>
      </c>
      <c r="L24" s="280">
        <f>SUM(L15:L23)</f>
        <v>202342187</v>
      </c>
      <c r="M24" s="280">
        <f>SUM(M15:M23)</f>
        <v>202342187</v>
      </c>
      <c r="N24" s="280">
        <f>SUM(N15:N23)</f>
        <v>202342187</v>
      </c>
      <c r="O24" s="851">
        <f>SUM(O15:O23)</f>
        <v>344529456</v>
      </c>
      <c r="P24" s="280">
        <f t="shared" si="0"/>
        <v>142187269</v>
      </c>
    </row>
    <row r="25" spans="1:16" ht="27.95" customHeight="1">
      <c r="A25" s="476">
        <v>2220</v>
      </c>
      <c r="B25" s="280" t="s">
        <v>240</v>
      </c>
      <c r="C25" s="246">
        <v>0</v>
      </c>
      <c r="D25" s="246">
        <v>0</v>
      </c>
      <c r="E25" s="246">
        <v>0</v>
      </c>
      <c r="F25" s="246">
        <v>0</v>
      </c>
      <c r="G25" s="246">
        <v>0</v>
      </c>
      <c r="H25" s="246"/>
      <c r="I25" s="246"/>
      <c r="J25" s="246"/>
      <c r="K25" s="246"/>
      <c r="L25" s="246"/>
      <c r="M25" s="246"/>
      <c r="N25" s="246"/>
      <c r="O25" s="840"/>
      <c r="P25" s="246">
        <f t="shared" si="0"/>
        <v>0</v>
      </c>
    </row>
    <row r="26" spans="1:16" ht="27.95" customHeight="1">
      <c r="A26" s="392">
        <v>22201</v>
      </c>
      <c r="B26" s="246" t="s">
        <v>132</v>
      </c>
      <c r="C26" s="246">
        <v>0</v>
      </c>
      <c r="D26" s="246">
        <v>0</v>
      </c>
      <c r="E26" s="246">
        <v>0</v>
      </c>
      <c r="F26" s="246">
        <v>0</v>
      </c>
      <c r="G26" s="280">
        <f>SUM(G23:G25)</f>
        <v>0</v>
      </c>
      <c r="H26" s="246">
        <v>40000000</v>
      </c>
      <c r="I26" s="246">
        <f>108000000*70%</f>
        <v>75600000</v>
      </c>
      <c r="J26" s="246">
        <f>108000000*70%</f>
        <v>75600000</v>
      </c>
      <c r="K26" s="246">
        <v>75600000</v>
      </c>
      <c r="L26" s="246">
        <v>125600000</v>
      </c>
      <c r="M26" s="246">
        <v>125600000</v>
      </c>
      <c r="N26" s="246">
        <v>425600000</v>
      </c>
      <c r="O26" s="840">
        <v>625600000</v>
      </c>
      <c r="P26" s="246">
        <f t="shared" si="0"/>
        <v>200000000</v>
      </c>
    </row>
    <row r="27" spans="1:16" ht="27.95" customHeight="1">
      <c r="A27" s="392">
        <v>22202</v>
      </c>
      <c r="B27" s="246" t="s">
        <v>133</v>
      </c>
      <c r="C27" s="246"/>
      <c r="D27" s="246">
        <v>0</v>
      </c>
      <c r="E27" s="246">
        <v>0</v>
      </c>
      <c r="F27" s="246">
        <v>0</v>
      </c>
      <c r="G27" s="280" t="e">
        <f>G26+G22+#REF!+G19+G8</f>
        <v>#REF!</v>
      </c>
      <c r="H27" s="246">
        <v>320000000</v>
      </c>
      <c r="I27" s="246">
        <f>450000000*70%</f>
        <v>315000000</v>
      </c>
      <c r="J27" s="246">
        <f>I27*80%</f>
        <v>252000000</v>
      </c>
      <c r="K27" s="246">
        <v>252000000</v>
      </c>
      <c r="L27" s="246">
        <v>352000000</v>
      </c>
      <c r="M27" s="246">
        <v>652000000</v>
      </c>
      <c r="N27" s="246">
        <v>1002000000</v>
      </c>
      <c r="O27" s="840">
        <v>1502000000</v>
      </c>
      <c r="P27" s="246">
        <f t="shared" si="0"/>
        <v>500000000</v>
      </c>
    </row>
    <row r="28" spans="1:16" ht="27.95" customHeight="1">
      <c r="A28" s="392">
        <v>22203</v>
      </c>
      <c r="B28" s="246" t="s">
        <v>127</v>
      </c>
      <c r="C28" s="292"/>
      <c r="D28" s="292"/>
      <c r="E28" s="292"/>
      <c r="F28" s="292"/>
      <c r="G28" s="292"/>
      <c r="H28" s="246">
        <v>14896000</v>
      </c>
      <c r="I28" s="246">
        <f>14896000*70%</f>
        <v>10427200</v>
      </c>
      <c r="J28" s="246">
        <f>14896000*70%</f>
        <v>10427200</v>
      </c>
      <c r="K28" s="246">
        <v>10427200</v>
      </c>
      <c r="L28" s="246">
        <v>10427200</v>
      </c>
      <c r="M28" s="246">
        <v>10427200</v>
      </c>
      <c r="N28" s="246">
        <v>10427200</v>
      </c>
      <c r="O28" s="840">
        <v>10427200</v>
      </c>
      <c r="P28" s="246">
        <f t="shared" si="0"/>
        <v>0</v>
      </c>
    </row>
    <row r="29" spans="1:16" ht="27.95" customHeight="1">
      <c r="A29" s="392">
        <v>22208</v>
      </c>
      <c r="B29" s="246" t="s">
        <v>447</v>
      </c>
      <c r="C29" s="292"/>
      <c r="D29" s="292"/>
      <c r="E29" s="292"/>
      <c r="F29" s="292"/>
      <c r="G29" s="292"/>
      <c r="H29" s="290">
        <v>305425605</v>
      </c>
      <c r="I29" s="290">
        <v>1151280000</v>
      </c>
      <c r="J29" s="290">
        <v>1151280000</v>
      </c>
      <c r="K29" s="290">
        <v>1251356400</v>
      </c>
      <c r="L29" s="290">
        <v>1251356400</v>
      </c>
      <c r="M29" s="290">
        <v>1255297680</v>
      </c>
      <c r="N29" s="290">
        <v>1452361680</v>
      </c>
      <c r="O29" s="858">
        <v>1556302960</v>
      </c>
      <c r="P29" s="246">
        <f t="shared" si="0"/>
        <v>103941280</v>
      </c>
    </row>
    <row r="30" spans="1:16" ht="27.95" customHeight="1">
      <c r="A30" s="392">
        <v>22210</v>
      </c>
      <c r="B30" s="246" t="s">
        <v>270</v>
      </c>
      <c r="C30" s="292"/>
      <c r="D30" s="292"/>
      <c r="E30" s="292"/>
      <c r="F30" s="292"/>
      <c r="G30" s="292"/>
      <c r="H30" s="290">
        <v>6000000</v>
      </c>
      <c r="I30" s="290">
        <f>6000000*70%</f>
        <v>4200000</v>
      </c>
      <c r="J30" s="290">
        <f>6000000*70%</f>
        <v>4200000</v>
      </c>
      <c r="K30" s="290">
        <v>4200000</v>
      </c>
      <c r="L30" s="290">
        <v>4200000</v>
      </c>
      <c r="M30" s="290">
        <v>4200000</v>
      </c>
      <c r="N30" s="290">
        <v>4200000</v>
      </c>
      <c r="O30" s="858">
        <v>4200000</v>
      </c>
      <c r="P30" s="246">
        <f t="shared" si="0"/>
        <v>0</v>
      </c>
    </row>
    <row r="31" spans="1:16" ht="27.95" customHeight="1">
      <c r="A31" s="392"/>
      <c r="B31" s="280" t="s">
        <v>92</v>
      </c>
      <c r="C31" s="292"/>
      <c r="D31" s="292"/>
      <c r="E31" s="292"/>
      <c r="F31" s="292"/>
      <c r="G31" s="292"/>
      <c r="H31" s="279">
        <f t="shared" ref="H31:M31" si="2">SUM(H26:H30)</f>
        <v>686321605</v>
      </c>
      <c r="I31" s="279">
        <f t="shared" si="2"/>
        <v>1556507200</v>
      </c>
      <c r="J31" s="279">
        <f t="shared" si="2"/>
        <v>1493507200</v>
      </c>
      <c r="K31" s="279">
        <f t="shared" si="2"/>
        <v>1593583600</v>
      </c>
      <c r="L31" s="279">
        <f t="shared" si="2"/>
        <v>1743583600</v>
      </c>
      <c r="M31" s="279">
        <f t="shared" si="2"/>
        <v>2047524880</v>
      </c>
      <c r="N31" s="279">
        <f>SUM(N26:N30)</f>
        <v>2894588880</v>
      </c>
      <c r="O31" s="850">
        <f>SUM(O26:O30)</f>
        <v>3698530160</v>
      </c>
      <c r="P31" s="280">
        <f t="shared" si="0"/>
        <v>803941280</v>
      </c>
    </row>
    <row r="32" spans="1:16" ht="27.95" customHeight="1">
      <c r="A32" s="476">
        <v>2230</v>
      </c>
      <c r="B32" s="280" t="s">
        <v>130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867"/>
      <c r="P32" s="246">
        <f t="shared" si="0"/>
        <v>0</v>
      </c>
    </row>
    <row r="33" spans="1:16" ht="27.95" customHeight="1">
      <c r="A33" s="392">
        <v>22301</v>
      </c>
      <c r="B33" s="246" t="s">
        <v>49</v>
      </c>
      <c r="C33" s="292"/>
      <c r="D33" s="292"/>
      <c r="E33" s="292"/>
      <c r="F33" s="292"/>
      <c r="G33" s="292"/>
      <c r="H33" s="305">
        <v>67692952</v>
      </c>
      <c r="I33" s="305">
        <f>67692952*70%</f>
        <v>47385066.399999999</v>
      </c>
      <c r="J33" s="305">
        <f>67692952*70%</f>
        <v>47385066.399999999</v>
      </c>
      <c r="K33" s="305">
        <v>47385066.399999999</v>
      </c>
      <c r="L33" s="305">
        <v>57385066.399999999</v>
      </c>
      <c r="M33" s="305">
        <v>57385066.399999999</v>
      </c>
      <c r="N33" s="305">
        <v>107385066.40000001</v>
      </c>
      <c r="O33" s="859">
        <v>307385066</v>
      </c>
      <c r="P33" s="246">
        <f t="shared" si="0"/>
        <v>199999999.59999999</v>
      </c>
    </row>
    <row r="34" spans="1:16" ht="27.95" customHeight="1">
      <c r="A34" s="392">
        <v>22302</v>
      </c>
      <c r="B34" s="246" t="s">
        <v>249</v>
      </c>
      <c r="C34" s="292"/>
      <c r="D34" s="292"/>
      <c r="E34" s="292"/>
      <c r="F34" s="292"/>
      <c r="G34" s="292"/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851">
        <v>0</v>
      </c>
      <c r="P34" s="246">
        <f t="shared" si="0"/>
        <v>0</v>
      </c>
    </row>
    <row r="35" spans="1:16" ht="27.95" customHeight="1">
      <c r="A35" s="392"/>
      <c r="B35" s="280" t="s">
        <v>92</v>
      </c>
      <c r="C35" s="292"/>
      <c r="D35" s="292"/>
      <c r="E35" s="292"/>
      <c r="F35" s="292"/>
      <c r="G35" s="292"/>
      <c r="H35" s="291">
        <f t="shared" ref="H35:L35" si="3">SUM(H33:H34)</f>
        <v>67692952</v>
      </c>
      <c r="I35" s="291">
        <f t="shared" si="3"/>
        <v>47385066.399999999</v>
      </c>
      <c r="J35" s="291">
        <f t="shared" si="3"/>
        <v>47385066.399999999</v>
      </c>
      <c r="K35" s="291">
        <f t="shared" si="3"/>
        <v>47385066.399999999</v>
      </c>
      <c r="L35" s="291">
        <f t="shared" si="3"/>
        <v>57385066.399999999</v>
      </c>
      <c r="M35" s="291">
        <f>SUM(M33:M34)</f>
        <v>57385066.399999999</v>
      </c>
      <c r="N35" s="291">
        <f>SUM(N33:N34)</f>
        <v>107385066.40000001</v>
      </c>
      <c r="O35" s="860">
        <f>SUM(O33:O34)</f>
        <v>307385066</v>
      </c>
      <c r="P35" s="280">
        <f t="shared" si="0"/>
        <v>199999999.59999999</v>
      </c>
    </row>
    <row r="36" spans="1:16" ht="27.95" customHeight="1">
      <c r="A36" s="476">
        <v>270</v>
      </c>
      <c r="B36" s="280" t="s">
        <v>253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867"/>
      <c r="P36" s="246">
        <f t="shared" si="0"/>
        <v>0</v>
      </c>
    </row>
    <row r="37" spans="1:16" ht="27.95" customHeight="1">
      <c r="A37" s="476">
        <v>2710</v>
      </c>
      <c r="B37" s="280" t="s">
        <v>252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867"/>
      <c r="P37" s="246">
        <f t="shared" si="0"/>
        <v>0</v>
      </c>
    </row>
    <row r="38" spans="1:16" ht="27.95" customHeight="1">
      <c r="A38" s="392">
        <v>27601</v>
      </c>
      <c r="B38" s="246" t="s">
        <v>264</v>
      </c>
      <c r="C38" s="292"/>
      <c r="D38" s="292"/>
      <c r="E38" s="292"/>
      <c r="F38" s="292"/>
      <c r="G38" s="292"/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851">
        <v>0</v>
      </c>
      <c r="P38" s="246">
        <f t="shared" si="0"/>
        <v>0</v>
      </c>
    </row>
    <row r="39" spans="1:16" ht="27.95" customHeight="1">
      <c r="A39" s="392">
        <v>27401</v>
      </c>
      <c r="B39" s="246" t="s">
        <v>1288</v>
      </c>
      <c r="C39" s="292"/>
      <c r="D39" s="292"/>
      <c r="E39" s="292"/>
      <c r="F39" s="292"/>
      <c r="G39" s="292"/>
      <c r="H39" s="280">
        <v>0</v>
      </c>
      <c r="I39" s="246">
        <f>16000*2*6000*70%</f>
        <v>134400000</v>
      </c>
      <c r="J39" s="246">
        <v>198000000</v>
      </c>
      <c r="K39" s="246"/>
      <c r="L39" s="246"/>
      <c r="M39" s="246"/>
      <c r="N39" s="246">
        <v>395000000</v>
      </c>
      <c r="O39" s="840">
        <v>1700000000</v>
      </c>
      <c r="P39" s="246">
        <f t="shared" si="0"/>
        <v>1305000000</v>
      </c>
    </row>
    <row r="40" spans="1:16" ht="27.95" customHeight="1">
      <c r="A40" s="392">
        <v>27402</v>
      </c>
      <c r="B40" s="246" t="s">
        <v>1202</v>
      </c>
      <c r="C40" s="292"/>
      <c r="D40" s="292"/>
      <c r="E40" s="292"/>
      <c r="F40" s="292"/>
      <c r="G40" s="292"/>
      <c r="H40" s="280"/>
      <c r="I40" s="246"/>
      <c r="J40" s="246"/>
      <c r="K40" s="246"/>
      <c r="L40" s="246"/>
      <c r="M40" s="246"/>
      <c r="N40" s="246">
        <v>294000000</v>
      </c>
      <c r="O40" s="840">
        <v>400000000</v>
      </c>
      <c r="P40" s="246">
        <f t="shared" si="0"/>
        <v>106000000</v>
      </c>
    </row>
    <row r="41" spans="1:16" ht="27.95" customHeight="1">
      <c r="A41" s="392">
        <v>27502</v>
      </c>
      <c r="B41" s="246" t="s">
        <v>148</v>
      </c>
      <c r="C41" s="292"/>
      <c r="D41" s="292"/>
      <c r="E41" s="292"/>
      <c r="F41" s="292"/>
      <c r="G41" s="292"/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851">
        <v>0</v>
      </c>
      <c r="P41" s="246">
        <f t="shared" si="0"/>
        <v>0</v>
      </c>
    </row>
    <row r="42" spans="1:16" ht="27.95" customHeight="1">
      <c r="A42" s="392">
        <v>27604</v>
      </c>
      <c r="B42" s="246" t="s">
        <v>149</v>
      </c>
      <c r="C42" s="292"/>
      <c r="D42" s="292"/>
      <c r="E42" s="292"/>
      <c r="F42" s="292"/>
      <c r="G42" s="292"/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851">
        <v>0</v>
      </c>
      <c r="P42" s="246">
        <f t="shared" si="0"/>
        <v>0</v>
      </c>
    </row>
    <row r="43" spans="1:16" ht="27.95" customHeight="1">
      <c r="A43" s="392"/>
      <c r="B43" s="280" t="s">
        <v>92</v>
      </c>
      <c r="C43" s="292"/>
      <c r="D43" s="292"/>
      <c r="E43" s="292"/>
      <c r="F43" s="292"/>
      <c r="G43" s="292"/>
      <c r="H43" s="280">
        <v>0</v>
      </c>
      <c r="I43" s="280">
        <f t="shared" ref="I43:L43" si="4">SUM(I38:I42)</f>
        <v>134400000</v>
      </c>
      <c r="J43" s="280">
        <f t="shared" si="4"/>
        <v>198000000</v>
      </c>
      <c r="K43" s="280">
        <f t="shared" si="4"/>
        <v>0</v>
      </c>
      <c r="L43" s="280">
        <f t="shared" si="4"/>
        <v>0</v>
      </c>
      <c r="M43" s="280">
        <f>SUM(M38:M42)</f>
        <v>0</v>
      </c>
      <c r="N43" s="280">
        <f>SUM(N38:N42)</f>
        <v>689000000</v>
      </c>
      <c r="O43" s="851">
        <f>SUM(O38:O42)</f>
        <v>2100000000</v>
      </c>
      <c r="P43" s="280">
        <f t="shared" si="0"/>
        <v>1411000000</v>
      </c>
    </row>
    <row r="44" spans="1:16" ht="27.95" customHeight="1">
      <c r="A44" s="476">
        <v>2510</v>
      </c>
      <c r="B44" s="280" t="s">
        <v>1296</v>
      </c>
      <c r="C44" s="292"/>
      <c r="D44" s="292"/>
      <c r="E44" s="292"/>
      <c r="F44" s="292"/>
      <c r="G44" s="292"/>
      <c r="H44" s="280"/>
      <c r="I44" s="280"/>
      <c r="J44" s="280"/>
      <c r="K44" s="280"/>
      <c r="L44" s="280"/>
      <c r="M44" s="280"/>
      <c r="N44" s="280"/>
      <c r="O44" s="851"/>
      <c r="P44" s="246">
        <f t="shared" si="0"/>
        <v>0</v>
      </c>
    </row>
    <row r="45" spans="1:16" ht="27.95" customHeight="1">
      <c r="A45" s="392">
        <v>25102</v>
      </c>
      <c r="B45" s="246" t="s">
        <v>302</v>
      </c>
      <c r="C45" s="292"/>
      <c r="D45" s="292"/>
      <c r="E45" s="292"/>
      <c r="F45" s="292"/>
      <c r="G45" s="292"/>
      <c r="H45" s="280"/>
      <c r="I45" s="280"/>
      <c r="J45" s="280"/>
      <c r="K45" s="280"/>
      <c r="L45" s="280"/>
      <c r="M45" s="246">
        <v>28000000</v>
      </c>
      <c r="N45" s="246">
        <v>28000000</v>
      </c>
      <c r="O45" s="840">
        <v>28000000</v>
      </c>
      <c r="P45" s="246">
        <f>O45-N45</f>
        <v>0</v>
      </c>
    </row>
    <row r="46" spans="1:16" ht="27.95" customHeight="1">
      <c r="A46" s="392"/>
      <c r="B46" s="280" t="s">
        <v>92</v>
      </c>
      <c r="C46" s="292"/>
      <c r="D46" s="292"/>
      <c r="E46" s="292"/>
      <c r="F46" s="292"/>
      <c r="G46" s="292"/>
      <c r="H46" s="280"/>
      <c r="I46" s="280"/>
      <c r="J46" s="280"/>
      <c r="K46" s="280"/>
      <c r="L46" s="280"/>
      <c r="M46" s="280">
        <f>SUM(M45)</f>
        <v>28000000</v>
      </c>
      <c r="N46" s="280">
        <f>SUM(N45)</f>
        <v>28000000</v>
      </c>
      <c r="O46" s="851">
        <f>SUM(O45)</f>
        <v>28000000</v>
      </c>
      <c r="P46" s="246">
        <f t="shared" si="0"/>
        <v>0</v>
      </c>
    </row>
    <row r="47" spans="1:16" ht="27.95" customHeight="1">
      <c r="A47" s="476">
        <v>2810</v>
      </c>
      <c r="B47" s="280" t="s">
        <v>1242</v>
      </c>
      <c r="C47" s="292"/>
      <c r="D47" s="292"/>
      <c r="E47" s="292"/>
      <c r="F47" s="292"/>
      <c r="G47" s="292"/>
      <c r="H47" s="280"/>
      <c r="I47" s="280"/>
      <c r="J47" s="280"/>
      <c r="K47" s="280"/>
      <c r="L47" s="280"/>
      <c r="M47" s="280"/>
      <c r="N47" s="280"/>
      <c r="O47" s="851"/>
      <c r="P47" s="246"/>
    </row>
    <row r="48" spans="1:16" ht="27.95" customHeight="1">
      <c r="A48" s="392">
        <v>28102</v>
      </c>
      <c r="B48" s="246" t="s">
        <v>1436</v>
      </c>
      <c r="C48" s="292"/>
      <c r="D48" s="292"/>
      <c r="E48" s="292"/>
      <c r="F48" s="292"/>
      <c r="G48" s="292"/>
      <c r="H48" s="280"/>
      <c r="I48" s="280"/>
      <c r="J48" s="280"/>
      <c r="K48" s="280"/>
      <c r="L48" s="280"/>
      <c r="M48" s="280"/>
      <c r="N48" s="280"/>
      <c r="O48" s="840">
        <v>102000000</v>
      </c>
      <c r="P48" s="246"/>
    </row>
    <row r="49" spans="1:16" ht="27.95" customHeight="1">
      <c r="A49" s="392"/>
      <c r="B49" s="280" t="s">
        <v>92</v>
      </c>
      <c r="C49" s="292"/>
      <c r="D49" s="292"/>
      <c r="E49" s="292"/>
      <c r="F49" s="292"/>
      <c r="G49" s="292"/>
      <c r="H49" s="280"/>
      <c r="I49" s="280"/>
      <c r="J49" s="280"/>
      <c r="K49" s="280"/>
      <c r="L49" s="280"/>
      <c r="M49" s="280"/>
      <c r="N49" s="280"/>
      <c r="O49" s="851">
        <f>SUM(O48)</f>
        <v>102000000</v>
      </c>
      <c r="P49" s="246"/>
    </row>
    <row r="50" spans="1:16" ht="27.95" customHeight="1">
      <c r="A50" s="392"/>
      <c r="B50" s="280" t="s">
        <v>37</v>
      </c>
      <c r="C50" s="292"/>
      <c r="D50" s="292"/>
      <c r="E50" s="292"/>
      <c r="F50" s="292"/>
      <c r="G50" s="292"/>
      <c r="H50" s="279">
        <f>H35+H31+H24+H9</f>
        <v>2099035387</v>
      </c>
      <c r="I50" s="279">
        <f>I43+I35+I31+I24+I9</f>
        <v>6119452417.3999996</v>
      </c>
      <c r="J50" s="279">
        <f>J43+J35+J31+J24+J9</f>
        <v>6102395953.3999996</v>
      </c>
      <c r="K50" s="279">
        <f>K43+K35+K31+K24+K9</f>
        <v>6131768353.3999996</v>
      </c>
      <c r="L50" s="279">
        <f>L43+L35+L31+L24+L9</f>
        <v>7135288453.3999996</v>
      </c>
      <c r="M50" s="279">
        <f>M43+M35+M31+M24+M9+M12+M46</f>
        <v>8242074173.3999996</v>
      </c>
      <c r="N50" s="279">
        <f>N43+N35+N31+N24+N9+N12+N46</f>
        <v>11281195553.4</v>
      </c>
      <c r="O50" s="850">
        <f>O43+O35+O31+O24+O9+O12+O46+O49</f>
        <v>14832174086</v>
      </c>
      <c r="P50" s="280">
        <f t="shared" si="0"/>
        <v>3550978532.6000004</v>
      </c>
    </row>
  </sheetData>
  <phoneticPr fontId="0" type="noConversion"/>
  <pageMargins left="0.68" right="0.32" top="0.89" bottom="0.5" header="0.32" footer="0.26"/>
  <pageSetup scale="47" orientation="portrait" r:id="rId1"/>
  <headerFooter alignWithMargins="0">
    <oddHeader>&amp;C&amp;"Algerian,Bold"&amp;36CIIDANKA ILLAALADDA XEEBAHA</oddHeader>
    <oddFooter>&amp;R&amp;"Times New Roman,Bold"&amp;14 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2232"/>
  <sheetViews>
    <sheetView view="pageBreakPreview" topLeftCell="A25" zoomScale="67" zoomScaleSheetLayoutView="67" workbookViewId="0">
      <selection activeCell="R41" sqref="R41"/>
    </sheetView>
  </sheetViews>
  <sheetFormatPr defaultRowHeight="27.95" customHeight="1"/>
  <cols>
    <col min="1" max="1" width="18.33203125" style="550" bestFit="1" customWidth="1"/>
    <col min="2" max="2" width="75.6640625" style="551" customWidth="1"/>
    <col min="3" max="3" width="17.1640625" style="528" hidden="1" customWidth="1"/>
    <col min="4" max="4" width="16.83203125" style="528" hidden="1" customWidth="1"/>
    <col min="5" max="5" width="18" style="528" hidden="1" customWidth="1"/>
    <col min="6" max="6" width="15.6640625" style="528" hidden="1" customWidth="1"/>
    <col min="7" max="7" width="18.83203125" style="528" hidden="1" customWidth="1"/>
    <col min="8" max="8" width="17.5" style="528" hidden="1" customWidth="1"/>
    <col min="9" max="10" width="1.5" style="528" hidden="1" customWidth="1"/>
    <col min="11" max="11" width="2" style="528" hidden="1" customWidth="1"/>
    <col min="12" max="12" width="21.1640625" style="551" hidden="1" customWidth="1"/>
    <col min="13" max="13" width="20.1640625" style="551" hidden="1" customWidth="1"/>
    <col min="14" max="14" width="0.1640625" style="551" hidden="1" customWidth="1"/>
    <col min="15" max="15" width="24.5" style="551" hidden="1" customWidth="1"/>
    <col min="16" max="16" width="0.1640625" style="551" hidden="1" customWidth="1"/>
    <col min="17" max="18" width="26.6640625" style="551" customWidth="1"/>
    <col min="19" max="19" width="25.5" style="551" customWidth="1"/>
    <col min="20" max="20" width="13.83203125" style="528" customWidth="1"/>
    <col min="21" max="16384" width="9.33203125" style="528"/>
  </cols>
  <sheetData>
    <row r="1" spans="1:19" ht="27.95" customHeight="1">
      <c r="A1" s="544" t="s">
        <v>39</v>
      </c>
      <c r="B1" s="380" t="s">
        <v>1317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19" ht="27.95" customHeight="1">
      <c r="A2" s="544" t="s">
        <v>25</v>
      </c>
      <c r="B2" s="380" t="s">
        <v>25</v>
      </c>
      <c r="C2" s="548" t="s">
        <v>26</v>
      </c>
      <c r="D2" s="548" t="s">
        <v>2</v>
      </c>
      <c r="E2" s="548" t="s">
        <v>43</v>
      </c>
      <c r="F2" s="548" t="s">
        <v>46</v>
      </c>
      <c r="G2" s="548" t="s">
        <v>55</v>
      </c>
      <c r="H2" s="548" t="s">
        <v>62</v>
      </c>
      <c r="I2" s="548" t="s">
        <v>103</v>
      </c>
      <c r="J2" s="548" t="s">
        <v>107</v>
      </c>
      <c r="K2" s="548" t="s">
        <v>115</v>
      </c>
      <c r="L2" s="548" t="s">
        <v>151</v>
      </c>
      <c r="M2" s="548" t="s">
        <v>259</v>
      </c>
      <c r="N2" s="548" t="s">
        <v>814</v>
      </c>
      <c r="O2" s="548" t="s">
        <v>874</v>
      </c>
      <c r="P2" s="548" t="s">
        <v>973</v>
      </c>
      <c r="Q2" s="548" t="s">
        <v>1160</v>
      </c>
      <c r="R2" s="548" t="s">
        <v>1320</v>
      </c>
      <c r="S2" s="548" t="s">
        <v>56</v>
      </c>
    </row>
    <row r="3" spans="1:19" ht="27.95" customHeight="1">
      <c r="A3" s="476">
        <v>2110</v>
      </c>
      <c r="B3" s="381" t="s">
        <v>27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19" ht="27.95" customHeight="1">
      <c r="A4" s="392">
        <v>21101</v>
      </c>
      <c r="B4" s="273" t="s">
        <v>28</v>
      </c>
      <c r="C4" s="273">
        <v>1157000</v>
      </c>
      <c r="D4" s="273">
        <v>0</v>
      </c>
      <c r="E4" s="273">
        <v>0</v>
      </c>
      <c r="F4" s="273">
        <v>0</v>
      </c>
      <c r="G4" s="273">
        <v>0</v>
      </c>
      <c r="H4" s="273">
        <v>0</v>
      </c>
      <c r="I4" s="273">
        <v>0</v>
      </c>
      <c r="J4" s="273">
        <v>0</v>
      </c>
      <c r="K4" s="273">
        <v>73429200</v>
      </c>
      <c r="L4" s="273">
        <f>73429200+16598400</f>
        <v>90027600</v>
      </c>
      <c r="M4" s="273">
        <f>shaqaalaha2011!H42+3600000</f>
        <v>186276000</v>
      </c>
      <c r="N4" s="273">
        <v>189103200</v>
      </c>
      <c r="O4" s="273">
        <v>229170240</v>
      </c>
      <c r="P4" s="273">
        <v>306521280</v>
      </c>
      <c r="Q4" s="273">
        <v>400608000</v>
      </c>
      <c r="R4" s="273">
        <v>535680288</v>
      </c>
      <c r="S4" s="273">
        <f>R4-Q4</f>
        <v>135072288</v>
      </c>
    </row>
    <row r="5" spans="1:19" ht="27.95" customHeight="1">
      <c r="A5" s="392">
        <v>21102</v>
      </c>
      <c r="B5" s="273" t="s">
        <v>29</v>
      </c>
      <c r="C5" s="273">
        <v>10800000</v>
      </c>
      <c r="D5" s="273">
        <v>8400000</v>
      </c>
      <c r="E5" s="273">
        <v>8400000</v>
      </c>
      <c r="F5" s="273">
        <v>8400000</v>
      </c>
      <c r="G5" s="273">
        <v>26088000</v>
      </c>
      <c r="H5" s="273">
        <v>26088000</v>
      </c>
      <c r="I5" s="273">
        <v>26088000</v>
      </c>
      <c r="J5" s="273">
        <v>26088000</v>
      </c>
      <c r="K5" s="273">
        <v>0</v>
      </c>
      <c r="L5" s="273">
        <v>0</v>
      </c>
      <c r="M5" s="273">
        <v>0</v>
      </c>
      <c r="N5" s="273">
        <v>54000000</v>
      </c>
      <c r="O5" s="273">
        <v>114000000</v>
      </c>
      <c r="P5" s="273">
        <v>114000000</v>
      </c>
      <c r="Q5" s="273">
        <v>114000000</v>
      </c>
      <c r="R5" s="273">
        <v>114000000</v>
      </c>
      <c r="S5" s="273">
        <f t="shared" ref="S5:S41" si="0">R5-Q5</f>
        <v>0</v>
      </c>
    </row>
    <row r="6" spans="1:19" ht="27.95" customHeight="1">
      <c r="A6" s="392">
        <v>21103</v>
      </c>
      <c r="B6" s="273" t="s">
        <v>565</v>
      </c>
      <c r="C6" s="273"/>
      <c r="D6" s="273"/>
      <c r="E6" s="273"/>
      <c r="F6" s="273"/>
      <c r="G6" s="273"/>
      <c r="H6" s="273"/>
      <c r="I6" s="273"/>
      <c r="J6" s="273">
        <v>0</v>
      </c>
      <c r="K6" s="273">
        <v>26088000</v>
      </c>
      <c r="L6" s="273">
        <f>26088000+2400000</f>
        <v>28488000</v>
      </c>
      <c r="M6" s="273">
        <f>26088000+2400000</f>
        <v>28488000</v>
      </c>
      <c r="N6" s="273">
        <v>57600000</v>
      </c>
      <c r="O6" s="273">
        <v>108000000</v>
      </c>
      <c r="P6" s="273">
        <v>108000000</v>
      </c>
      <c r="Q6" s="273">
        <v>108000000</v>
      </c>
      <c r="R6" s="247">
        <v>126000000</v>
      </c>
      <c r="S6" s="273">
        <f t="shared" si="0"/>
        <v>18000000</v>
      </c>
    </row>
    <row r="7" spans="1:19" ht="27.95" customHeight="1">
      <c r="A7" s="392">
        <v>21105</v>
      </c>
      <c r="B7" s="273" t="s">
        <v>465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>
        <v>36000000</v>
      </c>
      <c r="N7" s="273">
        <f>M7</f>
        <v>36000000</v>
      </c>
      <c r="O7" s="273">
        <f>N7</f>
        <v>36000000</v>
      </c>
      <c r="P7" s="273">
        <f>O7</f>
        <v>36000000</v>
      </c>
      <c r="Q7" s="273">
        <f>P7</f>
        <v>36000000</v>
      </c>
      <c r="R7" s="247">
        <v>72000000</v>
      </c>
      <c r="S7" s="273">
        <f t="shared" si="0"/>
        <v>36000000</v>
      </c>
    </row>
    <row r="8" spans="1:19" ht="27.95" customHeight="1">
      <c r="A8" s="476">
        <v>2120</v>
      </c>
      <c r="B8" s="298" t="s">
        <v>5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98">
        <f>SUM(K4:K6)</f>
        <v>99517200</v>
      </c>
      <c r="L8" s="298">
        <f>SUM(L4:L6)</f>
        <v>118515600</v>
      </c>
      <c r="M8" s="298">
        <f>M7+M6+M5+M4</f>
        <v>250764000</v>
      </c>
      <c r="N8" s="298">
        <f>SUM(N4:N7)</f>
        <v>336703200</v>
      </c>
      <c r="O8" s="298">
        <f>SUM(O4:O7)</f>
        <v>487170240</v>
      </c>
      <c r="P8" s="298">
        <f>SUM(P4:P7)</f>
        <v>564521280</v>
      </c>
      <c r="Q8" s="298">
        <f>SUM(Q4:Q7)</f>
        <v>658608000</v>
      </c>
      <c r="R8" s="256">
        <f>SUM(R4:R7)</f>
        <v>847680288</v>
      </c>
      <c r="S8" s="298">
        <f t="shared" si="0"/>
        <v>189072288</v>
      </c>
    </row>
    <row r="9" spans="1:19" s="549" customFormat="1" ht="27.95" customHeight="1">
      <c r="A9" s="392">
        <v>220</v>
      </c>
      <c r="B9" s="298" t="s">
        <v>384</v>
      </c>
      <c r="C9" s="298">
        <f t="shared" ref="C9:J9" si="1">SUM(C4:C8)</f>
        <v>11957000</v>
      </c>
      <c r="D9" s="298">
        <f t="shared" si="1"/>
        <v>8400000</v>
      </c>
      <c r="E9" s="298">
        <f t="shared" si="1"/>
        <v>8400000</v>
      </c>
      <c r="F9" s="298">
        <f t="shared" si="1"/>
        <v>8400000</v>
      </c>
      <c r="G9" s="298">
        <f t="shared" si="1"/>
        <v>26088000</v>
      </c>
      <c r="H9" s="298">
        <f t="shared" si="1"/>
        <v>26088000</v>
      </c>
      <c r="I9" s="298">
        <f t="shared" si="1"/>
        <v>26088000</v>
      </c>
      <c r="J9" s="298">
        <f t="shared" si="1"/>
        <v>26088000</v>
      </c>
      <c r="K9" s="298"/>
      <c r="L9" s="298"/>
      <c r="M9" s="298"/>
      <c r="N9" s="298" t="s">
        <v>4</v>
      </c>
      <c r="O9" s="298" t="s">
        <v>4</v>
      </c>
      <c r="P9" s="298" t="s">
        <v>4</v>
      </c>
      <c r="Q9" s="298"/>
      <c r="R9" s="256"/>
      <c r="S9" s="273"/>
    </row>
    <row r="10" spans="1:19" s="549" customFormat="1" ht="27.95" customHeight="1">
      <c r="A10" s="392">
        <v>2210</v>
      </c>
      <c r="B10" s="298" t="s">
        <v>385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56"/>
      <c r="S10" s="273">
        <f t="shared" si="0"/>
        <v>0</v>
      </c>
    </row>
    <row r="11" spans="1:19" ht="27.95" customHeight="1">
      <c r="A11" s="392">
        <v>22101</v>
      </c>
      <c r="B11" s="273" t="s">
        <v>159</v>
      </c>
      <c r="C11" s="273"/>
      <c r="D11" s="273"/>
      <c r="E11" s="273"/>
      <c r="F11" s="273"/>
      <c r="G11" s="273"/>
      <c r="H11" s="273"/>
      <c r="I11" s="273"/>
      <c r="J11" s="273"/>
      <c r="K11" s="273">
        <v>14896000</v>
      </c>
      <c r="L11" s="273">
        <v>14896000</v>
      </c>
      <c r="M11" s="273">
        <f>14896000*70%</f>
        <v>10427200</v>
      </c>
      <c r="N11" s="273">
        <v>0</v>
      </c>
      <c r="O11" s="273">
        <v>0</v>
      </c>
      <c r="P11" s="273">
        <v>0</v>
      </c>
      <c r="Q11" s="273">
        <v>0</v>
      </c>
      <c r="R11" s="247">
        <v>0</v>
      </c>
      <c r="S11" s="273">
        <f t="shared" si="0"/>
        <v>0</v>
      </c>
    </row>
    <row r="12" spans="1:19" ht="27.95" customHeight="1">
      <c r="A12" s="392">
        <v>22102</v>
      </c>
      <c r="B12" s="273" t="s">
        <v>124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3">
        <v>0</v>
      </c>
      <c r="R12" s="247">
        <v>0</v>
      </c>
      <c r="S12" s="273">
        <f t="shared" si="0"/>
        <v>0</v>
      </c>
    </row>
    <row r="13" spans="1:19" ht="27.95" customHeight="1">
      <c r="A13" s="392">
        <v>22103</v>
      </c>
      <c r="B13" s="273" t="s">
        <v>158</v>
      </c>
      <c r="C13" s="273">
        <v>35246000</v>
      </c>
      <c r="D13" s="273">
        <v>23700000</v>
      </c>
      <c r="E13" s="273">
        <v>23700000</v>
      </c>
      <c r="F13" s="273">
        <v>23700000</v>
      </c>
      <c r="G13" s="273">
        <v>35985600</v>
      </c>
      <c r="H13" s="273">
        <v>44982000</v>
      </c>
      <c r="I13" s="273">
        <v>44982000</v>
      </c>
      <c r="J13" s="273">
        <v>62000000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247">
        <v>0</v>
      </c>
      <c r="S13" s="273">
        <f t="shared" si="0"/>
        <v>0</v>
      </c>
    </row>
    <row r="14" spans="1:19" ht="27.95" customHeight="1">
      <c r="A14" s="392">
        <v>22104</v>
      </c>
      <c r="B14" s="273" t="s">
        <v>157</v>
      </c>
      <c r="C14" s="273">
        <v>6388200</v>
      </c>
      <c r="D14" s="273">
        <v>4411000</v>
      </c>
      <c r="E14" s="273">
        <v>4411000</v>
      </c>
      <c r="F14" s="273">
        <v>4411000</v>
      </c>
      <c r="G14" s="273">
        <v>14400000</v>
      </c>
      <c r="H14" s="273">
        <v>18000000</v>
      </c>
      <c r="I14" s="273">
        <v>13406400</v>
      </c>
      <c r="J14" s="273">
        <v>13406400</v>
      </c>
      <c r="K14" s="273">
        <v>10427200</v>
      </c>
      <c r="L14" s="273">
        <v>16025200</v>
      </c>
      <c r="M14" s="273">
        <v>11217640</v>
      </c>
      <c r="N14" s="273">
        <v>7000000</v>
      </c>
      <c r="O14" s="273">
        <v>17000000</v>
      </c>
      <c r="P14" s="273">
        <v>17000000</v>
      </c>
      <c r="Q14" s="273">
        <v>17000000</v>
      </c>
      <c r="R14" s="247">
        <v>34000000</v>
      </c>
      <c r="S14" s="273">
        <f t="shared" si="0"/>
        <v>17000000</v>
      </c>
    </row>
    <row r="15" spans="1:19" ht="27.95" customHeight="1">
      <c r="A15" s="392">
        <v>22105</v>
      </c>
      <c r="B15" s="273" t="s">
        <v>161</v>
      </c>
      <c r="C15" s="273">
        <v>0</v>
      </c>
      <c r="D15" s="273">
        <v>4000000</v>
      </c>
      <c r="E15" s="273">
        <v>4000000</v>
      </c>
      <c r="F15" s="273">
        <v>4000000</v>
      </c>
      <c r="G15" s="273">
        <v>5600000</v>
      </c>
      <c r="H15" s="273">
        <v>7000000</v>
      </c>
      <c r="I15" s="273">
        <v>5213600</v>
      </c>
      <c r="J15" s="273">
        <v>5213600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247">
        <v>0</v>
      </c>
      <c r="S15" s="273">
        <f t="shared" si="0"/>
        <v>0</v>
      </c>
    </row>
    <row r="16" spans="1:19" ht="27.95" customHeight="1">
      <c r="A16" s="392">
        <v>22106</v>
      </c>
      <c r="B16" s="273" t="s">
        <v>126</v>
      </c>
      <c r="C16" s="273"/>
      <c r="D16" s="273"/>
      <c r="E16" s="273"/>
      <c r="F16" s="273"/>
      <c r="G16" s="273"/>
      <c r="H16" s="273"/>
      <c r="I16" s="273"/>
      <c r="J16" s="273"/>
      <c r="K16" s="273">
        <v>18620000</v>
      </c>
      <c r="L16" s="273">
        <v>20620000</v>
      </c>
      <c r="M16" s="273">
        <f>20620000*70%</f>
        <v>14434000</v>
      </c>
      <c r="N16" s="273">
        <v>0</v>
      </c>
      <c r="O16" s="273">
        <v>0</v>
      </c>
      <c r="P16" s="273">
        <v>0</v>
      </c>
      <c r="Q16" s="273">
        <v>0</v>
      </c>
      <c r="R16" s="247">
        <v>0</v>
      </c>
      <c r="S16" s="273">
        <f t="shared" si="0"/>
        <v>0</v>
      </c>
    </row>
    <row r="17" spans="1:19" ht="27.95" customHeight="1">
      <c r="A17" s="392">
        <v>22107</v>
      </c>
      <c r="B17" s="273" t="s">
        <v>156</v>
      </c>
      <c r="C17" s="273">
        <v>0</v>
      </c>
      <c r="D17" s="273">
        <v>0</v>
      </c>
      <c r="E17" s="547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7000000</v>
      </c>
      <c r="K17" s="273">
        <v>4468800</v>
      </c>
      <c r="L17" s="273">
        <v>7468800</v>
      </c>
      <c r="M17" s="273">
        <f>L17*70%</f>
        <v>5228160</v>
      </c>
      <c r="N17" s="273">
        <v>0</v>
      </c>
      <c r="O17" s="273">
        <v>0</v>
      </c>
      <c r="P17" s="273">
        <v>0</v>
      </c>
      <c r="Q17" s="273">
        <v>0</v>
      </c>
      <c r="R17" s="247">
        <v>0</v>
      </c>
      <c r="S17" s="273">
        <f t="shared" si="0"/>
        <v>0</v>
      </c>
    </row>
    <row r="18" spans="1:19" s="549" customFormat="1" ht="27.95" customHeight="1">
      <c r="A18" s="392">
        <v>22109</v>
      </c>
      <c r="B18" s="273" t="s">
        <v>155</v>
      </c>
      <c r="C18" s="298">
        <f>SUM(C12:C17)</f>
        <v>41634200</v>
      </c>
      <c r="D18" s="298">
        <f>SUM(D12:D17)</f>
        <v>32111000</v>
      </c>
      <c r="E18" s="298">
        <f>SUM(E12:E15)</f>
        <v>32111000</v>
      </c>
      <c r="F18" s="298">
        <f>SUM(F12:F17)</f>
        <v>32111000</v>
      </c>
      <c r="G18" s="298">
        <f>SUM(G12:G17)</f>
        <v>55985600</v>
      </c>
      <c r="H18" s="298">
        <f>SUM(H12:H17)</f>
        <v>69982000</v>
      </c>
      <c r="I18" s="298">
        <f>SUM(I12:I17)</f>
        <v>63602000</v>
      </c>
      <c r="J18" s="298">
        <f>SUM(J12:J17)</f>
        <v>87620000</v>
      </c>
      <c r="K18" s="273">
        <v>1489600</v>
      </c>
      <c r="L18" s="273">
        <v>1489600</v>
      </c>
      <c r="M18" s="273">
        <v>1489600</v>
      </c>
      <c r="N18" s="273">
        <v>0</v>
      </c>
      <c r="O18" s="273">
        <v>0</v>
      </c>
      <c r="P18" s="273">
        <v>0</v>
      </c>
      <c r="Q18" s="273">
        <v>20000000</v>
      </c>
      <c r="R18" s="247">
        <v>20000000</v>
      </c>
      <c r="S18" s="273">
        <f t="shared" si="0"/>
        <v>0</v>
      </c>
    </row>
    <row r="19" spans="1:19" s="549" customFormat="1" ht="27.95" customHeight="1">
      <c r="A19" s="392">
        <v>22112</v>
      </c>
      <c r="B19" s="273" t="s">
        <v>165</v>
      </c>
      <c r="C19" s="298"/>
      <c r="D19" s="298"/>
      <c r="E19" s="298"/>
      <c r="F19" s="298"/>
      <c r="G19" s="298"/>
      <c r="H19" s="298"/>
      <c r="I19" s="298"/>
      <c r="J19" s="298"/>
      <c r="K19" s="273">
        <v>5958400</v>
      </c>
      <c r="L19" s="273">
        <v>7958400</v>
      </c>
      <c r="M19" s="273">
        <f>L19*70%</f>
        <v>5570880</v>
      </c>
      <c r="N19" s="273">
        <v>5000000</v>
      </c>
      <c r="O19" s="273">
        <v>13000000</v>
      </c>
      <c r="P19" s="273">
        <v>13000000</v>
      </c>
      <c r="Q19" s="273">
        <v>13000000</v>
      </c>
      <c r="R19" s="247">
        <v>13000000</v>
      </c>
      <c r="S19" s="273">
        <f t="shared" si="0"/>
        <v>0</v>
      </c>
    </row>
    <row r="20" spans="1:19" ht="27.95" customHeight="1">
      <c r="A20" s="392">
        <v>22118</v>
      </c>
      <c r="B20" s="273" t="s">
        <v>164</v>
      </c>
      <c r="C20" s="273"/>
      <c r="D20" s="273"/>
      <c r="E20" s="273"/>
      <c r="F20" s="273"/>
      <c r="G20" s="273"/>
      <c r="H20" s="273"/>
      <c r="I20" s="273"/>
      <c r="J20" s="273"/>
      <c r="K20" s="273">
        <v>44688000</v>
      </c>
      <c r="L20" s="273">
        <v>100000000</v>
      </c>
      <c r="M20" s="273">
        <f>100000000*70%</f>
        <v>70000000</v>
      </c>
      <c r="N20" s="273">
        <v>10000000</v>
      </c>
      <c r="O20" s="273">
        <v>110000000</v>
      </c>
      <c r="P20" s="273">
        <v>110000000</v>
      </c>
      <c r="Q20" s="273">
        <v>160000000</v>
      </c>
      <c r="R20" s="247">
        <v>230000000</v>
      </c>
      <c r="S20" s="273">
        <f t="shared" si="0"/>
        <v>70000000</v>
      </c>
    </row>
    <row r="21" spans="1:19" ht="27.95" customHeight="1">
      <c r="A21" s="392">
        <v>22129</v>
      </c>
      <c r="B21" s="273" t="s">
        <v>162</v>
      </c>
      <c r="C21" s="273">
        <v>0</v>
      </c>
      <c r="D21" s="273">
        <v>0</v>
      </c>
      <c r="E21" s="273">
        <v>0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3">
        <v>0</v>
      </c>
      <c r="Q21" s="273">
        <v>0</v>
      </c>
      <c r="R21" s="247">
        <v>0</v>
      </c>
      <c r="S21" s="273">
        <f t="shared" si="0"/>
        <v>0</v>
      </c>
    </row>
    <row r="22" spans="1:19" ht="27.95" customHeight="1">
      <c r="A22" s="392">
        <v>22137</v>
      </c>
      <c r="B22" s="273" t="s">
        <v>163</v>
      </c>
      <c r="C22" s="273">
        <v>0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47">
        <v>120000000</v>
      </c>
      <c r="S22" s="273">
        <f t="shared" si="0"/>
        <v>120000000</v>
      </c>
    </row>
    <row r="23" spans="1:19" ht="27.95" customHeight="1">
      <c r="A23" s="392"/>
      <c r="B23" s="298" t="s">
        <v>5</v>
      </c>
      <c r="C23" s="273"/>
      <c r="D23" s="273"/>
      <c r="E23" s="273"/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98">
        <f t="shared" ref="K23:P23" si="2">SUM(K11:K22)</f>
        <v>100548000</v>
      </c>
      <c r="L23" s="298">
        <f t="shared" si="2"/>
        <v>168458000</v>
      </c>
      <c r="M23" s="298">
        <f t="shared" si="2"/>
        <v>118367480</v>
      </c>
      <c r="N23" s="298">
        <f t="shared" si="2"/>
        <v>22000000</v>
      </c>
      <c r="O23" s="298">
        <f t="shared" si="2"/>
        <v>140000000</v>
      </c>
      <c r="P23" s="298">
        <f t="shared" si="2"/>
        <v>140000000</v>
      </c>
      <c r="Q23" s="298">
        <f>SUM(Q11:Q22)</f>
        <v>210000000</v>
      </c>
      <c r="R23" s="256">
        <f>SUM(R11:R22)</f>
        <v>417000000</v>
      </c>
      <c r="S23" s="298">
        <f t="shared" si="0"/>
        <v>207000000</v>
      </c>
    </row>
    <row r="24" spans="1:19" s="549" customFormat="1" ht="27.95" customHeight="1">
      <c r="A24" s="476">
        <v>2220</v>
      </c>
      <c r="B24" s="298" t="s">
        <v>131</v>
      </c>
      <c r="C24" s="298">
        <f>SUM(C21:C22)</f>
        <v>0</v>
      </c>
      <c r="D24" s="298">
        <f>SUM(D21:D22)</f>
        <v>0</v>
      </c>
      <c r="E24" s="298">
        <f>SUM(E21:E22)</f>
        <v>0</v>
      </c>
      <c r="F24" s="298">
        <v>0</v>
      </c>
      <c r="G24" s="298">
        <f>SUM(G21:G23)</f>
        <v>0</v>
      </c>
      <c r="H24" s="298">
        <f>SUM(H21:H23)</f>
        <v>0</v>
      </c>
      <c r="I24" s="298">
        <v>0</v>
      </c>
      <c r="J24" s="298">
        <v>0</v>
      </c>
      <c r="K24" s="298"/>
      <c r="L24" s="298"/>
      <c r="M24" s="298"/>
      <c r="N24" s="298"/>
      <c r="O24" s="298"/>
      <c r="P24" s="298"/>
      <c r="Q24" s="298"/>
      <c r="R24" s="256"/>
      <c r="S24" s="273">
        <f t="shared" si="0"/>
        <v>0</v>
      </c>
    </row>
    <row r="25" spans="1:19" ht="27.95" customHeight="1">
      <c r="A25" s="392">
        <v>22201</v>
      </c>
      <c r="B25" s="273" t="s">
        <v>132</v>
      </c>
      <c r="C25" s="273"/>
      <c r="D25" s="273"/>
      <c r="E25" s="273"/>
      <c r="F25" s="273"/>
      <c r="G25" s="273"/>
      <c r="H25" s="273"/>
      <c r="I25" s="273"/>
      <c r="J25" s="273"/>
      <c r="K25" s="273">
        <v>0</v>
      </c>
      <c r="L25" s="273">
        <v>0</v>
      </c>
      <c r="M25" s="273">
        <v>0</v>
      </c>
      <c r="N25" s="273">
        <v>0</v>
      </c>
      <c r="O25" s="273">
        <v>0</v>
      </c>
      <c r="P25" s="273">
        <v>0</v>
      </c>
      <c r="Q25" s="273">
        <v>0</v>
      </c>
      <c r="R25" s="247">
        <v>0</v>
      </c>
      <c r="S25" s="273">
        <f t="shared" si="0"/>
        <v>0</v>
      </c>
    </row>
    <row r="26" spans="1:19" ht="27.95" customHeight="1">
      <c r="A26" s="392">
        <v>22202</v>
      </c>
      <c r="B26" s="273" t="s">
        <v>133</v>
      </c>
      <c r="C26" s="273">
        <v>2475000</v>
      </c>
      <c r="D26" s="273">
        <v>4000000</v>
      </c>
      <c r="E26" s="273">
        <v>4000000</v>
      </c>
      <c r="F26" s="273">
        <v>7000000</v>
      </c>
      <c r="G26" s="273">
        <v>12000000</v>
      </c>
      <c r="H26" s="273">
        <v>15000000</v>
      </c>
      <c r="I26" s="273">
        <v>14896000</v>
      </c>
      <c r="J26" s="273">
        <v>38000000</v>
      </c>
      <c r="K26" s="273">
        <v>44982000</v>
      </c>
      <c r="L26" s="273">
        <v>120000000</v>
      </c>
      <c r="M26" s="273">
        <f>L26*70%</f>
        <v>84000000</v>
      </c>
      <c r="N26" s="273">
        <v>70000000</v>
      </c>
      <c r="O26" s="273">
        <v>120000000</v>
      </c>
      <c r="P26" s="273">
        <v>150000000</v>
      </c>
      <c r="Q26" s="273">
        <v>150000000</v>
      </c>
      <c r="R26" s="247">
        <v>200000000</v>
      </c>
      <c r="S26" s="273">
        <f t="shared" si="0"/>
        <v>50000000</v>
      </c>
    </row>
    <row r="27" spans="1:19" ht="27.95" customHeight="1">
      <c r="A27" s="392">
        <v>22203</v>
      </c>
      <c r="B27" s="273" t="s">
        <v>127</v>
      </c>
      <c r="C27" s="273">
        <v>990000</v>
      </c>
      <c r="D27" s="273">
        <v>3000000</v>
      </c>
      <c r="E27" s="273">
        <v>3000000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13406400</v>
      </c>
      <c r="L27" s="273">
        <v>13406400</v>
      </c>
      <c r="M27" s="273">
        <f>L27*70%</f>
        <v>9384480</v>
      </c>
      <c r="N27" s="273">
        <f>M27</f>
        <v>9384480</v>
      </c>
      <c r="O27" s="273">
        <f>N27</f>
        <v>9384480</v>
      </c>
      <c r="P27" s="273">
        <f>O27</f>
        <v>9384480</v>
      </c>
      <c r="Q27" s="273">
        <f>P27</f>
        <v>9384480</v>
      </c>
      <c r="R27" s="247">
        <f>Q27</f>
        <v>9384480</v>
      </c>
      <c r="S27" s="273">
        <f t="shared" si="0"/>
        <v>0</v>
      </c>
    </row>
    <row r="28" spans="1:19" ht="27.95" customHeight="1">
      <c r="A28" s="392">
        <v>22204</v>
      </c>
      <c r="B28" s="273" t="s">
        <v>128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5213600</v>
      </c>
      <c r="L28" s="273">
        <v>5213600</v>
      </c>
      <c r="M28" s="273">
        <f>5213600*70%</f>
        <v>3649520</v>
      </c>
      <c r="N28" s="273">
        <v>0</v>
      </c>
      <c r="O28" s="273">
        <v>0</v>
      </c>
      <c r="P28" s="273">
        <v>0</v>
      </c>
      <c r="Q28" s="273">
        <v>0</v>
      </c>
      <c r="R28" s="247">
        <v>0</v>
      </c>
      <c r="S28" s="273">
        <f t="shared" si="0"/>
        <v>0</v>
      </c>
    </row>
    <row r="29" spans="1:19" ht="27.95" customHeight="1">
      <c r="A29" s="392"/>
      <c r="B29" s="298" t="s">
        <v>92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98">
        <f t="shared" ref="K29:P29" si="3">SUM(K25:K28)</f>
        <v>63602000</v>
      </c>
      <c r="L29" s="298">
        <f t="shared" si="3"/>
        <v>138620000</v>
      </c>
      <c r="M29" s="298">
        <f t="shared" si="3"/>
        <v>97034000</v>
      </c>
      <c r="N29" s="298">
        <f t="shared" si="3"/>
        <v>79384480</v>
      </c>
      <c r="O29" s="298">
        <f t="shared" si="3"/>
        <v>129384480</v>
      </c>
      <c r="P29" s="298">
        <f t="shared" si="3"/>
        <v>159384480</v>
      </c>
      <c r="Q29" s="298">
        <f>SUM(Q25:Q28)</f>
        <v>159384480</v>
      </c>
      <c r="R29" s="256">
        <f>SUM(R25:R28)</f>
        <v>209384480</v>
      </c>
      <c r="S29" s="298">
        <f t="shared" si="0"/>
        <v>50000000</v>
      </c>
    </row>
    <row r="30" spans="1:19" ht="27.95" customHeight="1">
      <c r="A30" s="476">
        <v>2230</v>
      </c>
      <c r="B30" s="298" t="s">
        <v>130</v>
      </c>
      <c r="C30" s="273">
        <v>8000000</v>
      </c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/>
      <c r="L30" s="273"/>
      <c r="M30" s="273"/>
      <c r="N30" s="273"/>
      <c r="O30" s="273"/>
      <c r="P30" s="273"/>
      <c r="Q30" s="273"/>
      <c r="R30" s="247"/>
      <c r="S30" s="273">
        <f t="shared" si="0"/>
        <v>0</v>
      </c>
    </row>
    <row r="31" spans="1:19" ht="27.95" customHeight="1">
      <c r="A31" s="392">
        <v>22301</v>
      </c>
      <c r="B31" s="273" t="s">
        <v>150</v>
      </c>
      <c r="C31" s="273">
        <v>0</v>
      </c>
      <c r="D31" s="273">
        <v>0</v>
      </c>
      <c r="E31" s="273">
        <v>0</v>
      </c>
      <c r="F31" s="273">
        <v>0</v>
      </c>
      <c r="G31" s="273">
        <v>20000000</v>
      </c>
      <c r="H31" s="273">
        <v>25000000</v>
      </c>
      <c r="I31" s="273">
        <v>18620000</v>
      </c>
      <c r="J31" s="273">
        <v>18620000</v>
      </c>
      <c r="K31" s="273">
        <v>14896000</v>
      </c>
      <c r="L31" s="273">
        <v>18526072</v>
      </c>
      <c r="M31" s="273">
        <f>L31*70%</f>
        <v>12968250.399999999</v>
      </c>
      <c r="N31" s="273">
        <v>17968250</v>
      </c>
      <c r="O31" s="273">
        <v>37968250</v>
      </c>
      <c r="P31" s="273">
        <v>37968250</v>
      </c>
      <c r="Q31" s="273">
        <v>37968250</v>
      </c>
      <c r="R31" s="247">
        <v>37968250</v>
      </c>
      <c r="S31" s="273">
        <f t="shared" si="0"/>
        <v>0</v>
      </c>
    </row>
    <row r="32" spans="1:19" ht="27.95" customHeight="1">
      <c r="A32" s="392">
        <v>22302</v>
      </c>
      <c r="B32" s="273" t="s">
        <v>152</v>
      </c>
      <c r="C32" s="273">
        <v>0</v>
      </c>
      <c r="D32" s="273">
        <v>0</v>
      </c>
      <c r="E32" s="273">
        <v>0</v>
      </c>
      <c r="F32" s="273">
        <v>0</v>
      </c>
      <c r="G32" s="273">
        <v>0</v>
      </c>
      <c r="H32" s="273">
        <v>0</v>
      </c>
      <c r="I32" s="273"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247">
        <v>0</v>
      </c>
      <c r="S32" s="273">
        <f t="shared" si="0"/>
        <v>0</v>
      </c>
    </row>
    <row r="33" spans="1:19" ht="27.95" customHeight="1">
      <c r="A33" s="392"/>
      <c r="B33" s="298" t="s">
        <v>5</v>
      </c>
      <c r="C33" s="273">
        <v>0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98">
        <f t="shared" ref="K33:N33" si="4">SUM(K31:K32)</f>
        <v>14896000</v>
      </c>
      <c r="L33" s="298">
        <f t="shared" si="4"/>
        <v>18526072</v>
      </c>
      <c r="M33" s="298">
        <f t="shared" si="4"/>
        <v>12968250.399999999</v>
      </c>
      <c r="N33" s="298">
        <f t="shared" si="4"/>
        <v>17968250</v>
      </c>
      <c r="O33" s="298">
        <f>SUM(O31:O32)</f>
        <v>37968250</v>
      </c>
      <c r="P33" s="298">
        <f>SUM(P31:P32)</f>
        <v>37968250</v>
      </c>
      <c r="Q33" s="298">
        <f>SUM(Q31:Q32)</f>
        <v>37968250</v>
      </c>
      <c r="R33" s="256">
        <f>SUM(R31:R32)</f>
        <v>37968250</v>
      </c>
      <c r="S33" s="298">
        <f t="shared" si="0"/>
        <v>0</v>
      </c>
    </row>
    <row r="34" spans="1:19" ht="27.95" customHeight="1">
      <c r="A34" s="476">
        <v>270</v>
      </c>
      <c r="B34" s="298" t="s">
        <v>386</v>
      </c>
      <c r="C34" s="273">
        <v>0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/>
      <c r="L34" s="273"/>
      <c r="M34" s="273"/>
      <c r="N34" s="273"/>
      <c r="O34" s="273"/>
      <c r="P34" s="273"/>
      <c r="Q34" s="273"/>
      <c r="R34" s="247"/>
      <c r="S34" s="273">
        <f t="shared" si="0"/>
        <v>0</v>
      </c>
    </row>
    <row r="35" spans="1:19" ht="27.95" customHeight="1">
      <c r="A35" s="476">
        <v>2710</v>
      </c>
      <c r="B35" s="298" t="s">
        <v>387</v>
      </c>
      <c r="C35" s="273">
        <v>0</v>
      </c>
      <c r="D35" s="273">
        <v>0</v>
      </c>
      <c r="E35" s="273">
        <v>0</v>
      </c>
      <c r="F35" s="273">
        <v>0</v>
      </c>
      <c r="G35" s="273">
        <v>0</v>
      </c>
      <c r="H35" s="273">
        <v>0</v>
      </c>
      <c r="I35" s="273">
        <v>0</v>
      </c>
      <c r="J35" s="273">
        <v>0</v>
      </c>
      <c r="K35" s="273"/>
      <c r="L35" s="273"/>
      <c r="M35" s="273"/>
      <c r="N35" s="273"/>
      <c r="O35" s="273"/>
      <c r="P35" s="273"/>
      <c r="Q35" s="273"/>
      <c r="R35" s="247"/>
      <c r="S35" s="273">
        <f t="shared" si="0"/>
        <v>0</v>
      </c>
    </row>
    <row r="36" spans="1:19" s="549" customFormat="1" ht="27.95" customHeight="1">
      <c r="A36" s="392">
        <v>27601</v>
      </c>
      <c r="B36" s="273" t="s">
        <v>146</v>
      </c>
      <c r="C36" s="298">
        <f t="shared" ref="C36:J36" si="5">SUM(C26:C35)</f>
        <v>11465000</v>
      </c>
      <c r="D36" s="298">
        <f t="shared" si="5"/>
        <v>7000000</v>
      </c>
      <c r="E36" s="298">
        <f t="shared" si="5"/>
        <v>7000000</v>
      </c>
      <c r="F36" s="298">
        <f t="shared" si="5"/>
        <v>7000000</v>
      </c>
      <c r="G36" s="298">
        <f t="shared" si="5"/>
        <v>32000000</v>
      </c>
      <c r="H36" s="298">
        <f t="shared" si="5"/>
        <v>40000000</v>
      </c>
      <c r="I36" s="298">
        <f t="shared" si="5"/>
        <v>33516000</v>
      </c>
      <c r="J36" s="298">
        <f t="shared" si="5"/>
        <v>56620000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56">
        <v>0</v>
      </c>
      <c r="S36" s="273">
        <f t="shared" si="0"/>
        <v>0</v>
      </c>
    </row>
    <row r="37" spans="1:19" ht="27.95" customHeight="1">
      <c r="A37" s="392">
        <v>27402</v>
      </c>
      <c r="B37" s="273" t="s">
        <v>1412</v>
      </c>
      <c r="C37" s="273"/>
      <c r="D37" s="273"/>
      <c r="E37" s="273"/>
      <c r="F37" s="273"/>
      <c r="G37" s="273"/>
      <c r="H37" s="273"/>
      <c r="I37" s="273"/>
      <c r="J37" s="273"/>
      <c r="K37" s="273">
        <v>0</v>
      </c>
      <c r="L37" s="273">
        <v>0</v>
      </c>
      <c r="M37" s="273">
        <v>0</v>
      </c>
      <c r="N37" s="273">
        <v>0</v>
      </c>
      <c r="O37" s="273">
        <v>42000000</v>
      </c>
      <c r="P37" s="273">
        <v>0</v>
      </c>
      <c r="Q37" s="273">
        <v>0</v>
      </c>
      <c r="R37" s="247">
        <v>150000000</v>
      </c>
      <c r="S37" s="273">
        <f t="shared" si="0"/>
        <v>150000000</v>
      </c>
    </row>
    <row r="38" spans="1:19" ht="27.95" customHeight="1">
      <c r="A38" s="392">
        <v>27502</v>
      </c>
      <c r="B38" s="273" t="s">
        <v>148</v>
      </c>
      <c r="C38" s="273">
        <v>9789800</v>
      </c>
      <c r="D38" s="273">
        <v>10000000</v>
      </c>
      <c r="E38" s="273">
        <v>10000000</v>
      </c>
      <c r="F38" s="273">
        <v>10000000</v>
      </c>
      <c r="G38" s="273">
        <v>16000000</v>
      </c>
      <c r="H38" s="273">
        <v>20000000</v>
      </c>
      <c r="I38" s="273">
        <v>14896000</v>
      </c>
      <c r="J38" s="273">
        <v>14896000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73">
        <v>0</v>
      </c>
      <c r="Q38" s="273">
        <v>0</v>
      </c>
      <c r="R38" s="247">
        <v>0</v>
      </c>
      <c r="S38" s="273">
        <f t="shared" si="0"/>
        <v>0</v>
      </c>
    </row>
    <row r="39" spans="1:19" ht="27.95" customHeight="1">
      <c r="A39" s="392">
        <v>27604</v>
      </c>
      <c r="B39" s="273" t="s">
        <v>149</v>
      </c>
      <c r="C39" s="273">
        <v>0</v>
      </c>
      <c r="D39" s="273">
        <v>0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47">
        <v>0</v>
      </c>
      <c r="S39" s="273">
        <f t="shared" si="0"/>
        <v>0</v>
      </c>
    </row>
    <row r="40" spans="1:19" ht="27.95" customHeight="1">
      <c r="A40" s="476"/>
      <c r="B40" s="298" t="s">
        <v>92</v>
      </c>
      <c r="C40" s="273">
        <v>1650000</v>
      </c>
      <c r="D40" s="273">
        <v>2520200</v>
      </c>
      <c r="E40" s="273">
        <v>2520200</v>
      </c>
      <c r="F40" s="273">
        <f>2520200+2520200</f>
        <v>5040400</v>
      </c>
      <c r="G40" s="273">
        <v>9216000</v>
      </c>
      <c r="H40" s="273">
        <v>11520000</v>
      </c>
      <c r="I40" s="273">
        <v>10427200</v>
      </c>
      <c r="J40" s="273">
        <v>10427200</v>
      </c>
      <c r="K40" s="298">
        <f t="shared" ref="K40:P40" si="6">SUM(K36:K39)</f>
        <v>0</v>
      </c>
      <c r="L40" s="298">
        <f t="shared" si="6"/>
        <v>0</v>
      </c>
      <c r="M40" s="298">
        <f t="shared" si="6"/>
        <v>0</v>
      </c>
      <c r="N40" s="298">
        <f t="shared" si="6"/>
        <v>0</v>
      </c>
      <c r="O40" s="298">
        <f t="shared" si="6"/>
        <v>42000000</v>
      </c>
      <c r="P40" s="298">
        <f t="shared" si="6"/>
        <v>0</v>
      </c>
      <c r="Q40" s="298">
        <f t="shared" ref="Q40:R40" si="7">SUM(Q36:Q39)</f>
        <v>0</v>
      </c>
      <c r="R40" s="256">
        <f t="shared" si="7"/>
        <v>150000000</v>
      </c>
      <c r="S40" s="298">
        <f t="shared" si="0"/>
        <v>150000000</v>
      </c>
    </row>
    <row r="41" spans="1:19" ht="27.95" customHeight="1">
      <c r="A41" s="392"/>
      <c r="B41" s="298" t="s">
        <v>37</v>
      </c>
      <c r="C41" s="273">
        <v>0</v>
      </c>
      <c r="D41" s="273">
        <v>0</v>
      </c>
      <c r="E41" s="273">
        <v>0</v>
      </c>
      <c r="F41" s="273">
        <v>0</v>
      </c>
      <c r="G41" s="273">
        <v>0</v>
      </c>
      <c r="H41" s="273">
        <v>0</v>
      </c>
      <c r="I41" s="273">
        <v>1489600</v>
      </c>
      <c r="J41" s="273">
        <v>1489600</v>
      </c>
      <c r="K41" s="298" t="e">
        <f>#REF!+K29+K23+K8</f>
        <v>#REF!</v>
      </c>
      <c r="L41" s="298" t="e">
        <f>#REF!+L29+L23+L8</f>
        <v>#REF!</v>
      </c>
      <c r="M41" s="298" t="e">
        <f>#REF!+M29+M23+M8</f>
        <v>#REF!</v>
      </c>
      <c r="N41" s="298" t="e">
        <f>#REF!+N29+N23+N8+N40</f>
        <v>#REF!</v>
      </c>
      <c r="O41" s="298">
        <f>O40+O33+O29+O23+O8</f>
        <v>836522970</v>
      </c>
      <c r="P41" s="298">
        <f>P40+P33+P29+P23+P8</f>
        <v>901874010</v>
      </c>
      <c r="Q41" s="298">
        <f>Q40+Q33+Q29+Q23+Q8</f>
        <v>1065960730</v>
      </c>
      <c r="R41" s="256">
        <f>R40+R33+R29+R23+R8</f>
        <v>1662033018</v>
      </c>
      <c r="S41" s="298">
        <f t="shared" si="0"/>
        <v>596072288</v>
      </c>
    </row>
    <row r="42" spans="1:19" ht="27.95" customHeight="1">
      <c r="G42" s="552" t="s">
        <v>4</v>
      </c>
      <c r="H42" s="552"/>
      <c r="I42" s="552"/>
      <c r="J42" s="552"/>
      <c r="K42" s="552"/>
      <c r="L42" s="553"/>
      <c r="M42" s="553"/>
      <c r="N42" s="553"/>
      <c r="O42" s="553"/>
      <c r="P42" s="553"/>
      <c r="Q42" s="553"/>
      <c r="R42" s="553"/>
      <c r="S42" s="553"/>
    </row>
    <row r="43" spans="1:19" ht="27.95" customHeight="1">
      <c r="F43" s="552" t="s">
        <v>4</v>
      </c>
      <c r="G43" s="552"/>
      <c r="H43" s="552"/>
      <c r="I43" s="552"/>
      <c r="J43" s="552"/>
      <c r="K43" s="552"/>
      <c r="L43" s="553"/>
      <c r="M43" s="553"/>
      <c r="N43" s="553"/>
      <c r="O43" s="553"/>
      <c r="P43" s="553"/>
      <c r="Q43" s="553"/>
      <c r="R43" s="553"/>
      <c r="S43" s="553"/>
    </row>
    <row r="44" spans="1:19" ht="27.95" customHeight="1">
      <c r="N44" s="553"/>
      <c r="O44" s="553"/>
      <c r="P44" s="553"/>
      <c r="Q44" s="553"/>
      <c r="R44" s="553"/>
      <c r="S44" s="553"/>
    </row>
    <row r="45" spans="1:19" ht="27.95" customHeight="1">
      <c r="F45" s="528">
        <f>1386274192-71600000-798000-176160000-12600000</f>
        <v>1125116192</v>
      </c>
      <c r="N45" s="553"/>
      <c r="O45" s="553"/>
      <c r="P45" s="553"/>
      <c r="Q45" s="553"/>
      <c r="R45" s="553"/>
      <c r="S45" s="553"/>
    </row>
    <row r="46" spans="1:19" ht="27.95" customHeight="1">
      <c r="N46" s="553"/>
      <c r="O46" s="553"/>
      <c r="P46" s="553"/>
      <c r="Q46" s="553"/>
      <c r="R46" s="553"/>
      <c r="S46" s="553"/>
    </row>
    <row r="47" spans="1:19" ht="27.95" customHeight="1">
      <c r="N47" s="553"/>
      <c r="O47" s="553"/>
      <c r="P47" s="553"/>
      <c r="Q47" s="553"/>
      <c r="R47" s="553"/>
      <c r="S47" s="553"/>
    </row>
    <row r="48" spans="1:19" ht="27.95" customHeight="1">
      <c r="N48" s="553"/>
      <c r="O48" s="553"/>
      <c r="P48" s="553"/>
      <c r="Q48" s="553"/>
      <c r="R48" s="553"/>
      <c r="S48" s="553"/>
    </row>
    <row r="49" spans="14:19" ht="27.95" customHeight="1">
      <c r="N49" s="553"/>
      <c r="O49" s="553"/>
      <c r="P49" s="553"/>
      <c r="Q49" s="553"/>
      <c r="R49" s="553"/>
      <c r="S49" s="553"/>
    </row>
    <row r="50" spans="14:19" ht="27.95" customHeight="1">
      <c r="N50" s="553"/>
      <c r="O50" s="553"/>
      <c r="P50" s="553"/>
      <c r="Q50" s="553"/>
      <c r="R50" s="553"/>
      <c r="S50" s="553"/>
    </row>
    <row r="51" spans="14:19" ht="27.95" customHeight="1">
      <c r="N51" s="553"/>
      <c r="O51" s="553"/>
      <c r="P51" s="553"/>
      <c r="Q51" s="553"/>
      <c r="R51" s="553"/>
      <c r="S51" s="553"/>
    </row>
    <row r="52" spans="14:19" ht="27.95" customHeight="1">
      <c r="N52" s="553"/>
      <c r="O52" s="553"/>
      <c r="P52" s="553"/>
      <c r="Q52" s="553"/>
      <c r="R52" s="553"/>
      <c r="S52" s="553"/>
    </row>
    <row r="53" spans="14:19" ht="27.95" customHeight="1">
      <c r="N53" s="553"/>
      <c r="O53" s="553"/>
      <c r="P53" s="553"/>
      <c r="Q53" s="553"/>
      <c r="R53" s="553"/>
      <c r="S53" s="553"/>
    </row>
    <row r="54" spans="14:19" ht="27.95" customHeight="1">
      <c r="N54" s="553"/>
      <c r="O54" s="553"/>
      <c r="P54" s="553"/>
      <c r="Q54" s="553"/>
      <c r="R54" s="553"/>
      <c r="S54" s="553"/>
    </row>
    <row r="55" spans="14:19" ht="27.95" customHeight="1">
      <c r="N55" s="553"/>
      <c r="O55" s="553"/>
      <c r="P55" s="553"/>
      <c r="Q55" s="553"/>
      <c r="R55" s="553"/>
      <c r="S55" s="553"/>
    </row>
    <row r="56" spans="14:19" ht="27.95" customHeight="1">
      <c r="N56" s="553"/>
      <c r="O56" s="553"/>
      <c r="P56" s="553"/>
      <c r="Q56" s="553"/>
      <c r="R56" s="553"/>
      <c r="S56" s="553"/>
    </row>
    <row r="57" spans="14:19" ht="27.95" customHeight="1">
      <c r="N57" s="553"/>
      <c r="O57" s="553"/>
      <c r="P57" s="553"/>
      <c r="Q57" s="553"/>
      <c r="R57" s="553"/>
      <c r="S57" s="553"/>
    </row>
    <row r="58" spans="14:19" ht="27.95" customHeight="1">
      <c r="N58" s="553"/>
      <c r="O58" s="553"/>
      <c r="P58" s="553"/>
      <c r="Q58" s="553"/>
      <c r="R58" s="553"/>
      <c r="S58" s="553"/>
    </row>
    <row r="59" spans="14:19" ht="27.95" customHeight="1">
      <c r="N59" s="553"/>
      <c r="O59" s="553"/>
      <c r="P59" s="553"/>
      <c r="Q59" s="553"/>
      <c r="R59" s="553"/>
      <c r="S59" s="553"/>
    </row>
    <row r="60" spans="14:19" ht="27.95" customHeight="1">
      <c r="N60" s="553"/>
      <c r="O60" s="553"/>
      <c r="P60" s="553"/>
      <c r="Q60" s="553"/>
      <c r="R60" s="553"/>
      <c r="S60" s="553"/>
    </row>
    <row r="61" spans="14:19" ht="27.95" customHeight="1">
      <c r="N61" s="553"/>
      <c r="O61" s="553"/>
      <c r="P61" s="553"/>
      <c r="Q61" s="553"/>
      <c r="R61" s="553"/>
      <c r="S61" s="553"/>
    </row>
    <row r="62" spans="14:19" ht="27.95" customHeight="1">
      <c r="N62" s="553"/>
      <c r="O62" s="553"/>
      <c r="P62" s="553"/>
      <c r="Q62" s="553"/>
      <c r="R62" s="553"/>
      <c r="S62" s="553"/>
    </row>
    <row r="63" spans="14:19" ht="27.95" customHeight="1">
      <c r="N63" s="553"/>
      <c r="O63" s="553"/>
      <c r="P63" s="553"/>
      <c r="Q63" s="553"/>
      <c r="R63" s="553"/>
      <c r="S63" s="553"/>
    </row>
    <row r="64" spans="14:19" ht="27.95" customHeight="1">
      <c r="N64" s="553"/>
      <c r="O64" s="553"/>
      <c r="P64" s="553"/>
      <c r="Q64" s="553"/>
      <c r="R64" s="553"/>
      <c r="S64" s="553"/>
    </row>
    <row r="65" spans="14:19" ht="27.95" customHeight="1">
      <c r="N65" s="553"/>
      <c r="O65" s="553"/>
      <c r="P65" s="553"/>
      <c r="Q65" s="553"/>
      <c r="R65" s="553"/>
      <c r="S65" s="553"/>
    </row>
    <row r="66" spans="14:19" ht="27.95" customHeight="1">
      <c r="N66" s="553"/>
      <c r="O66" s="553"/>
      <c r="P66" s="553"/>
      <c r="Q66" s="553"/>
      <c r="R66" s="553"/>
      <c r="S66" s="553"/>
    </row>
    <row r="67" spans="14:19" ht="27.95" customHeight="1">
      <c r="N67" s="553"/>
      <c r="O67" s="553"/>
      <c r="P67" s="553"/>
      <c r="Q67" s="553"/>
      <c r="R67" s="553"/>
      <c r="S67" s="553"/>
    </row>
    <row r="68" spans="14:19" ht="27.95" customHeight="1">
      <c r="N68" s="553"/>
      <c r="O68" s="553"/>
      <c r="P68" s="553"/>
      <c r="Q68" s="553"/>
      <c r="R68" s="553"/>
      <c r="S68" s="553"/>
    </row>
    <row r="69" spans="14:19" ht="27.95" customHeight="1">
      <c r="N69" s="553"/>
      <c r="O69" s="553"/>
      <c r="P69" s="553"/>
      <c r="Q69" s="553"/>
      <c r="R69" s="553"/>
      <c r="S69" s="553"/>
    </row>
    <row r="70" spans="14:19" ht="27.95" customHeight="1">
      <c r="N70" s="553"/>
      <c r="O70" s="553"/>
      <c r="P70" s="553"/>
      <c r="Q70" s="553"/>
      <c r="R70" s="553"/>
      <c r="S70" s="553"/>
    </row>
    <row r="71" spans="14:19" ht="27.95" customHeight="1">
      <c r="N71" s="553"/>
      <c r="O71" s="553"/>
      <c r="P71" s="553"/>
      <c r="Q71" s="553"/>
      <c r="R71" s="553"/>
      <c r="S71" s="553"/>
    </row>
    <row r="72" spans="14:19" ht="27.95" customHeight="1">
      <c r="N72" s="553"/>
      <c r="O72" s="553"/>
      <c r="P72" s="553"/>
      <c r="Q72" s="553"/>
      <c r="R72" s="553"/>
      <c r="S72" s="553"/>
    </row>
    <row r="73" spans="14:19" ht="27.95" customHeight="1">
      <c r="N73" s="553"/>
      <c r="O73" s="553"/>
      <c r="P73" s="553"/>
      <c r="Q73" s="553"/>
      <c r="R73" s="553"/>
      <c r="S73" s="553"/>
    </row>
    <row r="74" spans="14:19" ht="27.95" customHeight="1">
      <c r="N74" s="553"/>
      <c r="O74" s="553"/>
      <c r="P74" s="553"/>
      <c r="Q74" s="553"/>
      <c r="R74" s="553"/>
      <c r="S74" s="553"/>
    </row>
    <row r="75" spans="14:19" ht="27.95" customHeight="1">
      <c r="N75" s="553"/>
      <c r="O75" s="553"/>
      <c r="P75" s="553"/>
      <c r="Q75" s="553"/>
      <c r="R75" s="553"/>
      <c r="S75" s="553"/>
    </row>
    <row r="76" spans="14:19" ht="27.95" customHeight="1">
      <c r="N76" s="553"/>
      <c r="O76" s="553"/>
      <c r="P76" s="553"/>
      <c r="Q76" s="553"/>
      <c r="R76" s="553"/>
      <c r="S76" s="553"/>
    </row>
    <row r="77" spans="14:19" ht="27.95" customHeight="1">
      <c r="N77" s="553"/>
      <c r="O77" s="553"/>
      <c r="P77" s="553"/>
      <c r="Q77" s="553"/>
      <c r="R77" s="553"/>
      <c r="S77" s="553"/>
    </row>
    <row r="78" spans="14:19" ht="27.95" customHeight="1">
      <c r="N78" s="553"/>
      <c r="O78" s="553"/>
      <c r="P78" s="553"/>
      <c r="Q78" s="553"/>
      <c r="R78" s="553"/>
      <c r="S78" s="553"/>
    </row>
    <row r="79" spans="14:19" ht="27.95" customHeight="1">
      <c r="N79" s="553"/>
      <c r="O79" s="553"/>
      <c r="P79" s="553"/>
      <c r="Q79" s="553"/>
      <c r="R79" s="553"/>
      <c r="S79" s="553"/>
    </row>
    <row r="80" spans="14:19" ht="27.95" customHeight="1">
      <c r="N80" s="553"/>
      <c r="O80" s="553"/>
      <c r="P80" s="553"/>
      <c r="Q80" s="553"/>
      <c r="R80" s="553"/>
      <c r="S80" s="553"/>
    </row>
    <row r="81" spans="14:19" ht="27.95" customHeight="1">
      <c r="N81" s="553"/>
      <c r="O81" s="553"/>
      <c r="P81" s="553"/>
      <c r="Q81" s="553"/>
      <c r="R81" s="553"/>
      <c r="S81" s="553"/>
    </row>
    <row r="82" spans="14:19" ht="27.95" customHeight="1">
      <c r="N82" s="553"/>
      <c r="O82" s="553"/>
      <c r="P82" s="553"/>
      <c r="Q82" s="553"/>
      <c r="R82" s="553"/>
      <c r="S82" s="553"/>
    </row>
    <row r="83" spans="14:19" ht="27.95" customHeight="1">
      <c r="N83" s="553"/>
      <c r="O83" s="553"/>
      <c r="P83" s="553"/>
      <c r="Q83" s="553"/>
      <c r="R83" s="553"/>
      <c r="S83" s="553"/>
    </row>
    <row r="84" spans="14:19" ht="27.95" customHeight="1">
      <c r="N84" s="553"/>
      <c r="O84" s="553"/>
      <c r="P84" s="553"/>
      <c r="Q84" s="553"/>
      <c r="R84" s="553"/>
      <c r="S84" s="553"/>
    </row>
    <row r="85" spans="14:19" ht="27.95" customHeight="1">
      <c r="N85" s="553"/>
      <c r="O85" s="553"/>
      <c r="P85" s="553"/>
      <c r="Q85" s="553"/>
      <c r="R85" s="553"/>
      <c r="S85" s="553"/>
    </row>
    <row r="86" spans="14:19" ht="27.95" customHeight="1">
      <c r="N86" s="553"/>
      <c r="O86" s="553"/>
      <c r="P86" s="553"/>
      <c r="Q86" s="553"/>
      <c r="R86" s="553"/>
      <c r="S86" s="553"/>
    </row>
    <row r="87" spans="14:19" ht="27.95" customHeight="1">
      <c r="N87" s="553"/>
      <c r="O87" s="553"/>
      <c r="P87" s="553"/>
      <c r="Q87" s="553"/>
      <c r="R87" s="553"/>
      <c r="S87" s="553"/>
    </row>
    <row r="88" spans="14:19" ht="27.95" customHeight="1">
      <c r="N88" s="553"/>
      <c r="O88" s="553"/>
      <c r="P88" s="553"/>
      <c r="Q88" s="553"/>
      <c r="R88" s="553"/>
      <c r="S88" s="553"/>
    </row>
    <row r="89" spans="14:19" ht="27.95" customHeight="1">
      <c r="N89" s="553"/>
      <c r="O89" s="553"/>
      <c r="P89" s="553"/>
      <c r="Q89" s="553"/>
      <c r="R89" s="553"/>
      <c r="S89" s="553"/>
    </row>
    <row r="90" spans="14:19" ht="27.95" customHeight="1">
      <c r="N90" s="553"/>
      <c r="O90" s="553"/>
      <c r="P90" s="553"/>
      <c r="Q90" s="553"/>
      <c r="R90" s="553"/>
      <c r="S90" s="553"/>
    </row>
    <row r="91" spans="14:19" ht="27.95" customHeight="1">
      <c r="N91" s="553"/>
      <c r="O91" s="553"/>
      <c r="P91" s="553"/>
      <c r="Q91" s="553"/>
      <c r="R91" s="553"/>
      <c r="S91" s="553"/>
    </row>
    <row r="92" spans="14:19" ht="27.95" customHeight="1">
      <c r="N92" s="553"/>
      <c r="O92" s="553"/>
      <c r="P92" s="553"/>
      <c r="Q92" s="553"/>
      <c r="R92" s="553"/>
      <c r="S92" s="553"/>
    </row>
    <row r="93" spans="14:19" ht="27.95" customHeight="1">
      <c r="N93" s="553"/>
      <c r="O93" s="553"/>
      <c r="P93" s="553"/>
      <c r="Q93" s="553"/>
      <c r="R93" s="553"/>
      <c r="S93" s="553"/>
    </row>
    <row r="94" spans="14:19" ht="27.95" customHeight="1">
      <c r="N94" s="553"/>
      <c r="O94" s="553"/>
      <c r="P94" s="553"/>
      <c r="Q94" s="553"/>
      <c r="R94" s="553"/>
      <c r="S94" s="553"/>
    </row>
    <row r="95" spans="14:19" ht="27.95" customHeight="1">
      <c r="N95" s="553"/>
      <c r="O95" s="553"/>
      <c r="P95" s="553"/>
      <c r="Q95" s="553"/>
      <c r="R95" s="553"/>
      <c r="S95" s="553"/>
    </row>
    <row r="96" spans="14:19" ht="27.95" customHeight="1">
      <c r="N96" s="553"/>
      <c r="O96" s="553"/>
      <c r="P96" s="553"/>
      <c r="Q96" s="553"/>
      <c r="R96" s="553"/>
      <c r="S96" s="553"/>
    </row>
    <row r="97" spans="14:19" ht="27.95" customHeight="1">
      <c r="N97" s="553"/>
      <c r="O97" s="553"/>
      <c r="P97" s="553"/>
      <c r="Q97" s="553"/>
      <c r="R97" s="553"/>
      <c r="S97" s="553"/>
    </row>
    <row r="98" spans="14:19" ht="27.95" customHeight="1">
      <c r="N98" s="553"/>
      <c r="O98" s="553"/>
      <c r="P98" s="553"/>
      <c r="Q98" s="553"/>
      <c r="R98" s="553"/>
      <c r="S98" s="553"/>
    </row>
    <row r="99" spans="14:19" ht="27.95" customHeight="1">
      <c r="N99" s="553"/>
      <c r="O99" s="553"/>
      <c r="P99" s="553"/>
      <c r="Q99" s="553"/>
      <c r="R99" s="553"/>
      <c r="S99" s="553"/>
    </row>
    <row r="100" spans="14:19" ht="27.95" customHeight="1">
      <c r="N100" s="553"/>
      <c r="O100" s="553"/>
      <c r="P100" s="553"/>
      <c r="Q100" s="553"/>
      <c r="R100" s="553"/>
      <c r="S100" s="553"/>
    </row>
    <row r="101" spans="14:19" ht="27.95" customHeight="1">
      <c r="N101" s="553"/>
      <c r="O101" s="553"/>
      <c r="P101" s="553"/>
      <c r="Q101" s="553"/>
      <c r="R101" s="553"/>
      <c r="S101" s="553"/>
    </row>
    <row r="102" spans="14:19" ht="27.95" customHeight="1">
      <c r="N102" s="553"/>
      <c r="O102" s="553"/>
      <c r="P102" s="553"/>
      <c r="Q102" s="553"/>
      <c r="R102" s="553"/>
      <c r="S102" s="553"/>
    </row>
    <row r="103" spans="14:19" ht="27.95" customHeight="1">
      <c r="N103" s="553"/>
      <c r="O103" s="553"/>
      <c r="P103" s="553"/>
      <c r="Q103" s="553"/>
      <c r="R103" s="553"/>
      <c r="S103" s="553"/>
    </row>
    <row r="104" spans="14:19" ht="27.95" customHeight="1">
      <c r="N104" s="553"/>
      <c r="O104" s="553"/>
      <c r="P104" s="553"/>
      <c r="Q104" s="553"/>
      <c r="R104" s="553"/>
      <c r="S104" s="553"/>
    </row>
    <row r="105" spans="14:19" ht="27.95" customHeight="1">
      <c r="N105" s="553"/>
      <c r="O105" s="553"/>
      <c r="P105" s="553"/>
      <c r="Q105" s="553"/>
      <c r="R105" s="553"/>
      <c r="S105" s="553"/>
    </row>
    <row r="106" spans="14:19" ht="27.95" customHeight="1">
      <c r="N106" s="553"/>
      <c r="O106" s="553"/>
      <c r="P106" s="553"/>
      <c r="Q106" s="553"/>
      <c r="R106" s="553"/>
      <c r="S106" s="553"/>
    </row>
    <row r="107" spans="14:19" ht="27.95" customHeight="1">
      <c r="N107" s="553"/>
      <c r="O107" s="553"/>
      <c r="P107" s="553"/>
      <c r="Q107" s="553"/>
      <c r="R107" s="553"/>
      <c r="S107" s="553"/>
    </row>
    <row r="108" spans="14:19" ht="27.95" customHeight="1">
      <c r="N108" s="553"/>
      <c r="O108" s="553"/>
      <c r="P108" s="553"/>
      <c r="Q108" s="553"/>
      <c r="R108" s="553"/>
      <c r="S108" s="553"/>
    </row>
    <row r="109" spans="14:19" ht="27.95" customHeight="1">
      <c r="N109" s="553"/>
      <c r="O109" s="553"/>
      <c r="P109" s="553"/>
      <c r="Q109" s="553"/>
      <c r="R109" s="553"/>
      <c r="S109" s="553"/>
    </row>
    <row r="110" spans="14:19" ht="27.95" customHeight="1">
      <c r="N110" s="553"/>
      <c r="O110" s="553"/>
      <c r="P110" s="553"/>
      <c r="Q110" s="553"/>
      <c r="R110" s="553"/>
      <c r="S110" s="553"/>
    </row>
    <row r="111" spans="14:19" ht="27.95" customHeight="1">
      <c r="N111" s="553"/>
      <c r="O111" s="553"/>
      <c r="P111" s="553"/>
      <c r="Q111" s="553"/>
      <c r="R111" s="553"/>
      <c r="S111" s="553"/>
    </row>
    <row r="112" spans="14:19" ht="27.95" customHeight="1">
      <c r="N112" s="553"/>
      <c r="O112" s="553"/>
      <c r="P112" s="553"/>
      <c r="Q112" s="553"/>
      <c r="R112" s="553"/>
      <c r="S112" s="553"/>
    </row>
    <row r="113" spans="14:19" ht="27.95" customHeight="1">
      <c r="N113" s="553"/>
      <c r="O113" s="553"/>
      <c r="P113" s="553"/>
      <c r="Q113" s="553"/>
      <c r="R113" s="553"/>
      <c r="S113" s="553"/>
    </row>
    <row r="114" spans="14:19" ht="27.95" customHeight="1">
      <c r="N114" s="553"/>
      <c r="O114" s="553"/>
      <c r="P114" s="553"/>
      <c r="Q114" s="553"/>
      <c r="R114" s="553"/>
      <c r="S114" s="553"/>
    </row>
    <row r="115" spans="14:19" ht="27.95" customHeight="1">
      <c r="N115" s="553"/>
      <c r="O115" s="553"/>
      <c r="P115" s="553"/>
      <c r="Q115" s="553"/>
      <c r="R115" s="553"/>
      <c r="S115" s="553"/>
    </row>
    <row r="116" spans="14:19" ht="27.95" customHeight="1">
      <c r="N116" s="553"/>
      <c r="O116" s="553"/>
      <c r="P116" s="553"/>
      <c r="Q116" s="553"/>
      <c r="R116" s="553"/>
      <c r="S116" s="553"/>
    </row>
    <row r="117" spans="14:19" ht="27.95" customHeight="1">
      <c r="N117" s="553"/>
      <c r="O117" s="553"/>
      <c r="P117" s="553"/>
      <c r="Q117" s="553"/>
      <c r="R117" s="553"/>
      <c r="S117" s="553"/>
    </row>
    <row r="118" spans="14:19" ht="27.95" customHeight="1">
      <c r="N118" s="553"/>
      <c r="O118" s="553"/>
      <c r="P118" s="553"/>
      <c r="Q118" s="553"/>
      <c r="R118" s="553"/>
      <c r="S118" s="553"/>
    </row>
    <row r="119" spans="14:19" ht="27.95" customHeight="1">
      <c r="N119" s="553"/>
      <c r="O119" s="553"/>
      <c r="P119" s="553"/>
      <c r="Q119" s="553"/>
      <c r="R119" s="553"/>
      <c r="S119" s="553"/>
    </row>
    <row r="120" spans="14:19" ht="27.95" customHeight="1">
      <c r="N120" s="553"/>
      <c r="O120" s="553"/>
      <c r="P120" s="553"/>
      <c r="Q120" s="553"/>
      <c r="R120" s="553"/>
      <c r="S120" s="553"/>
    </row>
    <row r="121" spans="14:19" ht="27.95" customHeight="1">
      <c r="N121" s="553"/>
      <c r="O121" s="553"/>
      <c r="P121" s="553"/>
      <c r="Q121" s="553"/>
      <c r="R121" s="553"/>
      <c r="S121" s="553"/>
    </row>
    <row r="122" spans="14:19" ht="27.95" customHeight="1">
      <c r="N122" s="553"/>
      <c r="O122" s="553"/>
      <c r="P122" s="553"/>
      <c r="Q122" s="553"/>
      <c r="R122" s="553"/>
      <c r="S122" s="553"/>
    </row>
    <row r="123" spans="14:19" ht="27.95" customHeight="1">
      <c r="N123" s="553"/>
      <c r="O123" s="553"/>
      <c r="P123" s="553"/>
      <c r="Q123" s="553"/>
      <c r="R123" s="553"/>
      <c r="S123" s="553"/>
    </row>
    <row r="124" spans="14:19" ht="27.95" customHeight="1">
      <c r="N124" s="553"/>
      <c r="O124" s="553"/>
      <c r="P124" s="553"/>
      <c r="Q124" s="553"/>
      <c r="R124" s="553"/>
      <c r="S124" s="553"/>
    </row>
    <row r="125" spans="14:19" ht="27.95" customHeight="1">
      <c r="N125" s="553"/>
      <c r="O125" s="553"/>
      <c r="P125" s="553"/>
      <c r="Q125" s="553"/>
      <c r="R125" s="553"/>
      <c r="S125" s="553"/>
    </row>
    <row r="126" spans="14:19" ht="27.95" customHeight="1">
      <c r="N126" s="553"/>
      <c r="O126" s="553"/>
      <c r="P126" s="553"/>
      <c r="Q126" s="553"/>
      <c r="R126" s="553"/>
      <c r="S126" s="553"/>
    </row>
    <row r="127" spans="14:19" ht="27.95" customHeight="1">
      <c r="N127" s="553"/>
      <c r="O127" s="553"/>
      <c r="P127" s="553"/>
      <c r="Q127" s="553"/>
      <c r="R127" s="553"/>
      <c r="S127" s="553"/>
    </row>
    <row r="128" spans="14:19" ht="27.95" customHeight="1">
      <c r="N128" s="553"/>
      <c r="O128" s="553"/>
      <c r="P128" s="553"/>
      <c r="Q128" s="553"/>
      <c r="R128" s="553"/>
      <c r="S128" s="553"/>
    </row>
    <row r="129" spans="14:19" ht="27.95" customHeight="1">
      <c r="N129" s="553"/>
      <c r="O129" s="553"/>
      <c r="P129" s="553"/>
      <c r="Q129" s="553"/>
      <c r="R129" s="553"/>
      <c r="S129" s="553"/>
    </row>
    <row r="130" spans="14:19" ht="27.95" customHeight="1">
      <c r="N130" s="553"/>
      <c r="O130" s="553"/>
      <c r="P130" s="553"/>
      <c r="Q130" s="553"/>
      <c r="R130" s="553"/>
      <c r="S130" s="553"/>
    </row>
    <row r="131" spans="14:19" ht="27.95" customHeight="1">
      <c r="N131" s="553"/>
      <c r="O131" s="553"/>
      <c r="P131" s="553"/>
      <c r="Q131" s="553"/>
      <c r="R131" s="553"/>
      <c r="S131" s="553"/>
    </row>
    <row r="132" spans="14:19" ht="27.95" customHeight="1">
      <c r="N132" s="553"/>
      <c r="O132" s="553"/>
      <c r="P132" s="553"/>
      <c r="Q132" s="553"/>
      <c r="R132" s="553"/>
      <c r="S132" s="553"/>
    </row>
    <row r="133" spans="14:19" ht="27.95" customHeight="1">
      <c r="N133" s="553"/>
      <c r="O133" s="553"/>
      <c r="P133" s="553"/>
      <c r="Q133" s="553"/>
      <c r="R133" s="553"/>
      <c r="S133" s="553"/>
    </row>
    <row r="134" spans="14:19" ht="27.95" customHeight="1">
      <c r="N134" s="553"/>
      <c r="O134" s="553"/>
      <c r="P134" s="553"/>
      <c r="Q134" s="553"/>
      <c r="R134" s="553"/>
      <c r="S134" s="553"/>
    </row>
    <row r="135" spans="14:19" ht="27.95" customHeight="1">
      <c r="N135" s="553"/>
      <c r="O135" s="553"/>
      <c r="P135" s="553"/>
      <c r="Q135" s="553"/>
      <c r="R135" s="553"/>
      <c r="S135" s="553"/>
    </row>
    <row r="136" spans="14:19" ht="27.95" customHeight="1">
      <c r="N136" s="553"/>
      <c r="O136" s="553"/>
      <c r="P136" s="553"/>
      <c r="Q136" s="553"/>
      <c r="R136" s="553"/>
      <c r="S136" s="553"/>
    </row>
    <row r="137" spans="14:19" ht="27.95" customHeight="1">
      <c r="N137" s="553"/>
      <c r="O137" s="553"/>
      <c r="P137" s="553"/>
      <c r="Q137" s="553"/>
      <c r="R137" s="553"/>
      <c r="S137" s="553"/>
    </row>
    <row r="138" spans="14:19" ht="27.95" customHeight="1">
      <c r="N138" s="553"/>
      <c r="O138" s="553"/>
      <c r="P138" s="553"/>
      <c r="Q138" s="553"/>
      <c r="R138" s="553"/>
      <c r="S138" s="553"/>
    </row>
    <row r="139" spans="14:19" ht="27.95" customHeight="1">
      <c r="N139" s="553"/>
      <c r="O139" s="553"/>
      <c r="P139" s="553"/>
      <c r="Q139" s="553"/>
      <c r="R139" s="553"/>
      <c r="S139" s="553"/>
    </row>
    <row r="140" spans="14:19" ht="27.95" customHeight="1">
      <c r="N140" s="553"/>
      <c r="O140" s="553"/>
      <c r="P140" s="553"/>
      <c r="Q140" s="553"/>
      <c r="R140" s="553"/>
      <c r="S140" s="553"/>
    </row>
    <row r="141" spans="14:19" ht="27.95" customHeight="1">
      <c r="N141" s="553"/>
      <c r="O141" s="553"/>
      <c r="P141" s="553"/>
      <c r="Q141" s="553"/>
      <c r="R141" s="553"/>
      <c r="S141" s="553"/>
    </row>
    <row r="142" spans="14:19" ht="27.95" customHeight="1">
      <c r="N142" s="553"/>
      <c r="O142" s="553"/>
      <c r="P142" s="553"/>
      <c r="Q142" s="553"/>
      <c r="R142" s="553"/>
      <c r="S142" s="553"/>
    </row>
    <row r="143" spans="14:19" ht="27.95" customHeight="1">
      <c r="N143" s="553"/>
      <c r="O143" s="553"/>
      <c r="P143" s="553"/>
      <c r="Q143" s="553"/>
      <c r="R143" s="553"/>
      <c r="S143" s="553"/>
    </row>
    <row r="144" spans="14:19" ht="27.95" customHeight="1">
      <c r="N144" s="553"/>
      <c r="O144" s="553"/>
      <c r="P144" s="553"/>
      <c r="Q144" s="553"/>
      <c r="R144" s="553"/>
      <c r="S144" s="553"/>
    </row>
    <row r="145" spans="14:19" ht="27.95" customHeight="1">
      <c r="N145" s="553"/>
      <c r="O145" s="553"/>
      <c r="P145" s="553"/>
      <c r="Q145" s="553"/>
      <c r="R145" s="553"/>
      <c r="S145" s="553"/>
    </row>
    <row r="146" spans="14:19" ht="27.95" customHeight="1">
      <c r="N146" s="553"/>
      <c r="O146" s="553"/>
      <c r="P146" s="553"/>
      <c r="Q146" s="553"/>
      <c r="R146" s="553"/>
      <c r="S146" s="553"/>
    </row>
    <row r="147" spans="14:19" ht="27.95" customHeight="1">
      <c r="N147" s="553"/>
      <c r="O147" s="553"/>
      <c r="P147" s="553"/>
      <c r="Q147" s="553"/>
      <c r="R147" s="553"/>
      <c r="S147" s="553"/>
    </row>
    <row r="148" spans="14:19" ht="27.95" customHeight="1">
      <c r="N148" s="553"/>
      <c r="O148" s="553"/>
      <c r="P148" s="553"/>
      <c r="Q148" s="553"/>
      <c r="R148" s="553"/>
      <c r="S148" s="553"/>
    </row>
    <row r="149" spans="14:19" ht="27.95" customHeight="1">
      <c r="N149" s="553"/>
      <c r="O149" s="553"/>
      <c r="P149" s="553"/>
      <c r="Q149" s="553"/>
      <c r="R149" s="553"/>
      <c r="S149" s="553"/>
    </row>
    <row r="150" spans="14:19" ht="27.95" customHeight="1">
      <c r="N150" s="553"/>
      <c r="O150" s="553"/>
      <c r="P150" s="553"/>
      <c r="Q150" s="553"/>
      <c r="R150" s="553"/>
      <c r="S150" s="553"/>
    </row>
    <row r="151" spans="14:19" ht="27.95" customHeight="1">
      <c r="N151" s="553"/>
      <c r="O151" s="553"/>
      <c r="P151" s="553"/>
      <c r="Q151" s="553"/>
      <c r="R151" s="553"/>
      <c r="S151" s="553"/>
    </row>
    <row r="152" spans="14:19" ht="27.95" customHeight="1">
      <c r="N152" s="553"/>
      <c r="O152" s="553"/>
      <c r="P152" s="553"/>
      <c r="Q152" s="553"/>
      <c r="R152" s="553"/>
      <c r="S152" s="553"/>
    </row>
    <row r="153" spans="14:19" ht="27.95" customHeight="1">
      <c r="N153" s="553"/>
      <c r="O153" s="553"/>
      <c r="P153" s="553"/>
      <c r="Q153" s="553"/>
      <c r="R153" s="553"/>
      <c r="S153" s="553"/>
    </row>
    <row r="154" spans="14:19" ht="27.95" customHeight="1">
      <c r="N154" s="553"/>
      <c r="O154" s="553"/>
      <c r="P154" s="553"/>
      <c r="Q154" s="553"/>
      <c r="R154" s="553"/>
      <c r="S154" s="553"/>
    </row>
    <row r="155" spans="14:19" ht="27.95" customHeight="1">
      <c r="N155" s="553"/>
      <c r="O155" s="553"/>
      <c r="P155" s="553"/>
      <c r="Q155" s="553"/>
      <c r="R155" s="553"/>
      <c r="S155" s="553"/>
    </row>
    <row r="156" spans="14:19" ht="27.95" customHeight="1">
      <c r="N156" s="553"/>
      <c r="O156" s="553"/>
      <c r="P156" s="553"/>
      <c r="Q156" s="553"/>
      <c r="R156" s="553"/>
      <c r="S156" s="553"/>
    </row>
    <row r="157" spans="14:19" ht="27.95" customHeight="1">
      <c r="N157" s="553"/>
      <c r="O157" s="553"/>
      <c r="P157" s="553"/>
      <c r="Q157" s="553"/>
      <c r="R157" s="553"/>
      <c r="S157" s="553"/>
    </row>
    <row r="158" spans="14:19" ht="27.95" customHeight="1">
      <c r="N158" s="553"/>
      <c r="O158" s="553"/>
      <c r="P158" s="553"/>
      <c r="Q158" s="553"/>
      <c r="R158" s="553"/>
      <c r="S158" s="553"/>
    </row>
    <row r="159" spans="14:19" ht="27.95" customHeight="1">
      <c r="N159" s="553"/>
      <c r="O159" s="553"/>
      <c r="P159" s="553"/>
      <c r="Q159" s="553"/>
      <c r="R159" s="553"/>
      <c r="S159" s="553"/>
    </row>
    <row r="160" spans="14:19" ht="27.95" customHeight="1">
      <c r="N160" s="553"/>
      <c r="O160" s="553"/>
      <c r="P160" s="553"/>
      <c r="Q160" s="553"/>
      <c r="R160" s="553"/>
      <c r="S160" s="553"/>
    </row>
    <row r="161" spans="14:19" ht="27.95" customHeight="1">
      <c r="N161" s="553"/>
      <c r="O161" s="553"/>
      <c r="P161" s="553"/>
      <c r="Q161" s="553"/>
      <c r="R161" s="553"/>
      <c r="S161" s="553"/>
    </row>
    <row r="162" spans="14:19" ht="27.95" customHeight="1">
      <c r="N162" s="553"/>
      <c r="O162" s="553"/>
      <c r="P162" s="553"/>
      <c r="Q162" s="553"/>
      <c r="R162" s="553"/>
      <c r="S162" s="553"/>
    </row>
    <row r="163" spans="14:19" ht="27.95" customHeight="1">
      <c r="N163" s="553"/>
      <c r="O163" s="553"/>
      <c r="P163" s="553"/>
      <c r="Q163" s="553"/>
      <c r="R163" s="553"/>
      <c r="S163" s="553"/>
    </row>
    <row r="164" spans="14:19" ht="27.95" customHeight="1">
      <c r="N164" s="553"/>
      <c r="O164" s="553"/>
      <c r="P164" s="553"/>
      <c r="Q164" s="553"/>
      <c r="R164" s="553"/>
      <c r="S164" s="553"/>
    </row>
    <row r="165" spans="14:19" ht="27.95" customHeight="1">
      <c r="N165" s="553"/>
      <c r="O165" s="553"/>
      <c r="P165" s="553"/>
      <c r="Q165" s="553"/>
      <c r="R165" s="553"/>
      <c r="S165" s="553"/>
    </row>
    <row r="166" spans="14:19" ht="27.95" customHeight="1">
      <c r="N166" s="553"/>
      <c r="O166" s="553"/>
      <c r="P166" s="553"/>
      <c r="Q166" s="553"/>
      <c r="R166" s="553"/>
      <c r="S166" s="553"/>
    </row>
    <row r="167" spans="14:19" ht="27.95" customHeight="1">
      <c r="N167" s="553"/>
      <c r="O167" s="553"/>
      <c r="P167" s="553"/>
      <c r="Q167" s="553"/>
      <c r="R167" s="553"/>
      <c r="S167" s="553"/>
    </row>
    <row r="168" spans="14:19" ht="27.95" customHeight="1">
      <c r="N168" s="553"/>
      <c r="O168" s="553"/>
      <c r="P168" s="553"/>
      <c r="Q168" s="553"/>
      <c r="R168" s="553"/>
      <c r="S168" s="553"/>
    </row>
    <row r="169" spans="14:19" ht="27.95" customHeight="1">
      <c r="N169" s="553"/>
      <c r="O169" s="553"/>
      <c r="P169" s="553"/>
      <c r="Q169" s="553"/>
      <c r="R169" s="553"/>
      <c r="S169" s="553"/>
    </row>
    <row r="170" spans="14:19" ht="27.95" customHeight="1">
      <c r="N170" s="553"/>
      <c r="O170" s="553"/>
      <c r="P170" s="553"/>
      <c r="Q170" s="553"/>
      <c r="R170" s="553"/>
      <c r="S170" s="553"/>
    </row>
    <row r="171" spans="14:19" ht="27.95" customHeight="1">
      <c r="N171" s="553"/>
      <c r="O171" s="553"/>
      <c r="P171" s="553"/>
      <c r="Q171" s="553"/>
      <c r="R171" s="553"/>
      <c r="S171" s="553"/>
    </row>
    <row r="172" spans="14:19" ht="27.95" customHeight="1">
      <c r="N172" s="553"/>
      <c r="O172" s="553"/>
      <c r="P172" s="553"/>
      <c r="Q172" s="553"/>
      <c r="R172" s="553"/>
      <c r="S172" s="553"/>
    </row>
    <row r="173" spans="14:19" ht="27.95" customHeight="1">
      <c r="N173" s="553"/>
      <c r="O173" s="553"/>
      <c r="P173" s="553"/>
      <c r="Q173" s="553"/>
      <c r="R173" s="553"/>
      <c r="S173" s="553"/>
    </row>
    <row r="174" spans="14:19" ht="27.95" customHeight="1">
      <c r="N174" s="553"/>
      <c r="O174" s="553"/>
      <c r="P174" s="553"/>
      <c r="Q174" s="553"/>
      <c r="R174" s="553"/>
      <c r="S174" s="553"/>
    </row>
    <row r="175" spans="14:19" ht="27.95" customHeight="1">
      <c r="N175" s="553"/>
      <c r="O175" s="553"/>
      <c r="P175" s="553"/>
      <c r="Q175" s="553"/>
      <c r="R175" s="553"/>
      <c r="S175" s="553"/>
    </row>
    <row r="176" spans="14:19" ht="27.95" customHeight="1">
      <c r="N176" s="553"/>
      <c r="O176" s="553"/>
      <c r="P176" s="553"/>
      <c r="Q176" s="553"/>
      <c r="R176" s="553"/>
      <c r="S176" s="553"/>
    </row>
    <row r="177" spans="14:19" ht="27.95" customHeight="1">
      <c r="N177" s="553"/>
      <c r="O177" s="553"/>
      <c r="P177" s="553"/>
      <c r="Q177" s="553"/>
      <c r="R177" s="553"/>
      <c r="S177" s="553"/>
    </row>
    <row r="178" spans="14:19" ht="27.95" customHeight="1">
      <c r="N178" s="553"/>
      <c r="O178" s="553"/>
      <c r="P178" s="553"/>
      <c r="Q178" s="553"/>
      <c r="R178" s="553"/>
      <c r="S178" s="553"/>
    </row>
    <row r="179" spans="14:19" ht="27.95" customHeight="1">
      <c r="N179" s="553"/>
      <c r="O179" s="553"/>
      <c r="P179" s="553"/>
      <c r="Q179" s="553"/>
      <c r="R179" s="553"/>
      <c r="S179" s="553"/>
    </row>
    <row r="180" spans="14:19" ht="27.95" customHeight="1">
      <c r="N180" s="553"/>
      <c r="O180" s="553"/>
      <c r="P180" s="553"/>
      <c r="Q180" s="553"/>
      <c r="R180" s="553"/>
      <c r="S180" s="553"/>
    </row>
    <row r="181" spans="14:19" ht="27.95" customHeight="1">
      <c r="N181" s="553"/>
      <c r="O181" s="553"/>
      <c r="P181" s="553"/>
      <c r="Q181" s="553"/>
      <c r="R181" s="553"/>
      <c r="S181" s="553"/>
    </row>
    <row r="182" spans="14:19" ht="27.95" customHeight="1">
      <c r="N182" s="553"/>
      <c r="O182" s="553"/>
      <c r="P182" s="553"/>
      <c r="Q182" s="553"/>
      <c r="R182" s="553"/>
      <c r="S182" s="553"/>
    </row>
    <row r="183" spans="14:19" ht="27.95" customHeight="1">
      <c r="N183" s="553"/>
      <c r="O183" s="553"/>
      <c r="P183" s="553"/>
      <c r="Q183" s="553"/>
      <c r="R183" s="553"/>
      <c r="S183" s="553"/>
    </row>
    <row r="184" spans="14:19" ht="27.95" customHeight="1">
      <c r="N184" s="553"/>
      <c r="O184" s="553"/>
      <c r="P184" s="553"/>
      <c r="Q184" s="553"/>
      <c r="R184" s="553"/>
      <c r="S184" s="553"/>
    </row>
    <row r="185" spans="14:19" ht="27.95" customHeight="1">
      <c r="N185" s="553"/>
      <c r="O185" s="553"/>
      <c r="P185" s="553"/>
      <c r="Q185" s="553"/>
      <c r="R185" s="553"/>
      <c r="S185" s="553"/>
    </row>
    <row r="186" spans="14:19" ht="27.95" customHeight="1">
      <c r="N186" s="553"/>
      <c r="O186" s="553"/>
      <c r="P186" s="553"/>
      <c r="Q186" s="553"/>
      <c r="R186" s="553"/>
      <c r="S186" s="553"/>
    </row>
    <row r="187" spans="14:19" ht="27.95" customHeight="1">
      <c r="N187" s="553"/>
      <c r="O187" s="553"/>
      <c r="P187" s="553"/>
      <c r="Q187" s="553"/>
      <c r="R187" s="553"/>
      <c r="S187" s="553"/>
    </row>
    <row r="188" spans="14:19" ht="27.95" customHeight="1">
      <c r="N188" s="553"/>
      <c r="O188" s="553"/>
      <c r="P188" s="553"/>
      <c r="Q188" s="553"/>
      <c r="R188" s="553"/>
      <c r="S188" s="553"/>
    </row>
    <row r="189" spans="14:19" ht="27.95" customHeight="1">
      <c r="N189" s="553"/>
      <c r="O189" s="553"/>
      <c r="P189" s="553"/>
      <c r="Q189" s="553"/>
      <c r="R189" s="553"/>
      <c r="S189" s="553"/>
    </row>
    <row r="190" spans="14:19" ht="27.95" customHeight="1">
      <c r="N190" s="553"/>
      <c r="O190" s="553"/>
      <c r="P190" s="553"/>
      <c r="Q190" s="553"/>
      <c r="R190" s="553"/>
      <c r="S190" s="553"/>
    </row>
    <row r="191" spans="14:19" ht="27.95" customHeight="1">
      <c r="N191" s="553"/>
      <c r="O191" s="553"/>
      <c r="P191" s="553"/>
      <c r="Q191" s="553"/>
      <c r="R191" s="553"/>
      <c r="S191" s="553"/>
    </row>
    <row r="192" spans="14:19" ht="27.95" customHeight="1">
      <c r="N192" s="553"/>
      <c r="O192" s="553"/>
      <c r="P192" s="553"/>
      <c r="Q192" s="553"/>
      <c r="R192" s="553"/>
      <c r="S192" s="553"/>
    </row>
    <row r="193" spans="14:19" ht="27.95" customHeight="1">
      <c r="N193" s="553"/>
      <c r="O193" s="553"/>
      <c r="P193" s="553"/>
      <c r="Q193" s="553"/>
      <c r="R193" s="553"/>
      <c r="S193" s="553"/>
    </row>
    <row r="194" spans="14:19" ht="27.95" customHeight="1">
      <c r="N194" s="553"/>
      <c r="O194" s="553"/>
      <c r="P194" s="553"/>
      <c r="Q194" s="553"/>
      <c r="R194" s="553"/>
      <c r="S194" s="553"/>
    </row>
    <row r="195" spans="14:19" ht="27.95" customHeight="1">
      <c r="N195" s="553"/>
      <c r="O195" s="553"/>
      <c r="P195" s="553"/>
      <c r="Q195" s="553"/>
      <c r="R195" s="553"/>
      <c r="S195" s="553"/>
    </row>
    <row r="196" spans="14:19" ht="27.95" customHeight="1">
      <c r="N196" s="553"/>
      <c r="O196" s="553"/>
      <c r="P196" s="553"/>
      <c r="Q196" s="553"/>
      <c r="R196" s="553"/>
      <c r="S196" s="553"/>
    </row>
    <row r="197" spans="14:19" ht="27.95" customHeight="1">
      <c r="N197" s="553"/>
      <c r="O197" s="553"/>
      <c r="P197" s="553"/>
      <c r="Q197" s="553"/>
      <c r="R197" s="553"/>
      <c r="S197" s="553"/>
    </row>
    <row r="198" spans="14:19" ht="27.95" customHeight="1">
      <c r="N198" s="553"/>
      <c r="O198" s="553"/>
      <c r="P198" s="553"/>
      <c r="Q198" s="553"/>
      <c r="R198" s="553"/>
      <c r="S198" s="553"/>
    </row>
    <row r="199" spans="14:19" ht="27.95" customHeight="1">
      <c r="N199" s="553"/>
      <c r="O199" s="553"/>
      <c r="P199" s="553"/>
      <c r="Q199" s="553"/>
      <c r="R199" s="553"/>
      <c r="S199" s="553"/>
    </row>
    <row r="200" spans="14:19" ht="27.95" customHeight="1">
      <c r="N200" s="553"/>
      <c r="O200" s="553"/>
      <c r="P200" s="553"/>
      <c r="Q200" s="553"/>
      <c r="R200" s="553"/>
      <c r="S200" s="553"/>
    </row>
    <row r="201" spans="14:19" ht="27.95" customHeight="1">
      <c r="N201" s="553"/>
      <c r="O201" s="553"/>
      <c r="P201" s="553"/>
      <c r="Q201" s="553"/>
      <c r="R201" s="553"/>
      <c r="S201" s="553"/>
    </row>
    <row r="202" spans="14:19" ht="27.95" customHeight="1">
      <c r="N202" s="553"/>
      <c r="O202" s="553"/>
      <c r="P202" s="553"/>
      <c r="Q202" s="553"/>
      <c r="R202" s="553"/>
      <c r="S202" s="553"/>
    </row>
    <row r="203" spans="14:19" ht="27.95" customHeight="1">
      <c r="N203" s="553"/>
      <c r="O203" s="553"/>
      <c r="P203" s="553"/>
      <c r="Q203" s="553"/>
      <c r="R203" s="553"/>
      <c r="S203" s="553"/>
    </row>
    <row r="204" spans="14:19" ht="27.95" customHeight="1">
      <c r="N204" s="553"/>
      <c r="O204" s="553"/>
      <c r="P204" s="553"/>
      <c r="Q204" s="553"/>
      <c r="R204" s="553"/>
      <c r="S204" s="553"/>
    </row>
    <row r="205" spans="14:19" ht="27.95" customHeight="1">
      <c r="N205" s="553"/>
      <c r="O205" s="553"/>
      <c r="P205" s="553"/>
      <c r="Q205" s="553"/>
      <c r="R205" s="553"/>
      <c r="S205" s="553"/>
    </row>
    <row r="206" spans="14:19" ht="27.95" customHeight="1">
      <c r="N206" s="553"/>
      <c r="O206" s="553"/>
      <c r="P206" s="553"/>
      <c r="Q206" s="553"/>
      <c r="R206" s="553"/>
      <c r="S206" s="553"/>
    </row>
    <row r="207" spans="14:19" ht="27.95" customHeight="1">
      <c r="N207" s="553"/>
      <c r="O207" s="553"/>
      <c r="P207" s="553"/>
      <c r="Q207" s="553"/>
      <c r="R207" s="553"/>
      <c r="S207" s="553"/>
    </row>
    <row r="208" spans="14:19" ht="27.95" customHeight="1">
      <c r="N208" s="553"/>
      <c r="O208" s="553"/>
      <c r="P208" s="553"/>
      <c r="Q208" s="553"/>
      <c r="R208" s="553"/>
      <c r="S208" s="553"/>
    </row>
    <row r="209" spans="14:19" ht="27.95" customHeight="1">
      <c r="N209" s="553"/>
      <c r="O209" s="553"/>
      <c r="P209" s="553"/>
      <c r="Q209" s="553"/>
      <c r="R209" s="553"/>
      <c r="S209" s="553"/>
    </row>
    <row r="210" spans="14:19" ht="27.95" customHeight="1">
      <c r="N210" s="553"/>
      <c r="O210" s="553"/>
      <c r="P210" s="553"/>
      <c r="Q210" s="553"/>
      <c r="R210" s="553"/>
      <c r="S210" s="553"/>
    </row>
    <row r="211" spans="14:19" ht="27.95" customHeight="1">
      <c r="N211" s="553"/>
      <c r="O211" s="553"/>
      <c r="P211" s="553"/>
      <c r="Q211" s="553"/>
      <c r="R211" s="553"/>
      <c r="S211" s="553"/>
    </row>
    <row r="212" spans="14:19" ht="27.95" customHeight="1">
      <c r="N212" s="553"/>
      <c r="O212" s="553"/>
      <c r="P212" s="553"/>
      <c r="Q212" s="553"/>
      <c r="R212" s="553"/>
      <c r="S212" s="553"/>
    </row>
    <row r="213" spans="14:19" ht="27.95" customHeight="1">
      <c r="N213" s="553"/>
      <c r="O213" s="553"/>
      <c r="P213" s="553"/>
      <c r="Q213" s="553"/>
      <c r="R213" s="553"/>
      <c r="S213" s="553"/>
    </row>
    <row r="214" spans="14:19" ht="27.95" customHeight="1">
      <c r="N214" s="553"/>
      <c r="O214" s="553"/>
      <c r="P214" s="553"/>
      <c r="Q214" s="553"/>
      <c r="R214" s="553"/>
      <c r="S214" s="553"/>
    </row>
    <row r="215" spans="14:19" ht="27.95" customHeight="1">
      <c r="N215" s="553"/>
      <c r="O215" s="553"/>
      <c r="P215" s="553"/>
      <c r="Q215" s="553"/>
      <c r="R215" s="553"/>
      <c r="S215" s="553"/>
    </row>
    <row r="216" spans="14:19" ht="27.95" customHeight="1">
      <c r="N216" s="553"/>
      <c r="O216" s="553"/>
      <c r="P216" s="553"/>
      <c r="Q216" s="553"/>
      <c r="R216" s="553"/>
      <c r="S216" s="553"/>
    </row>
    <row r="217" spans="14:19" ht="27.95" customHeight="1">
      <c r="N217" s="553"/>
      <c r="O217" s="553"/>
      <c r="P217" s="553"/>
      <c r="Q217" s="553"/>
      <c r="R217" s="553"/>
      <c r="S217" s="553"/>
    </row>
    <row r="218" spans="14:19" ht="27.95" customHeight="1">
      <c r="N218" s="553"/>
      <c r="O218" s="553"/>
      <c r="P218" s="553"/>
      <c r="Q218" s="553"/>
      <c r="R218" s="553"/>
      <c r="S218" s="553"/>
    </row>
    <row r="219" spans="14:19" ht="27.95" customHeight="1">
      <c r="N219" s="553"/>
      <c r="O219" s="553"/>
      <c r="P219" s="553"/>
      <c r="Q219" s="553"/>
      <c r="R219" s="553"/>
      <c r="S219" s="553"/>
    </row>
    <row r="220" spans="14:19" ht="27.95" customHeight="1">
      <c r="N220" s="553"/>
      <c r="O220" s="553"/>
      <c r="P220" s="553"/>
      <c r="Q220" s="553"/>
      <c r="R220" s="553"/>
      <c r="S220" s="553"/>
    </row>
    <row r="221" spans="14:19" ht="27.95" customHeight="1">
      <c r="N221" s="553"/>
      <c r="O221" s="553"/>
      <c r="P221" s="553"/>
      <c r="Q221" s="553"/>
      <c r="R221" s="553"/>
      <c r="S221" s="553"/>
    </row>
    <row r="222" spans="14:19" ht="27.95" customHeight="1">
      <c r="N222" s="553"/>
      <c r="O222" s="553"/>
      <c r="P222" s="553"/>
      <c r="Q222" s="553"/>
      <c r="R222" s="553"/>
      <c r="S222" s="553"/>
    </row>
    <row r="223" spans="14:19" ht="27.95" customHeight="1">
      <c r="N223" s="553"/>
      <c r="O223" s="553"/>
      <c r="P223" s="553"/>
      <c r="Q223" s="553"/>
      <c r="R223" s="553"/>
      <c r="S223" s="553"/>
    </row>
    <row r="224" spans="14:19" ht="27.95" customHeight="1">
      <c r="N224" s="553"/>
      <c r="O224" s="553"/>
      <c r="P224" s="553"/>
      <c r="Q224" s="553"/>
      <c r="R224" s="553"/>
      <c r="S224" s="553"/>
    </row>
    <row r="225" spans="14:19" ht="27.95" customHeight="1">
      <c r="N225" s="553"/>
      <c r="O225" s="553"/>
      <c r="P225" s="553"/>
      <c r="Q225" s="553"/>
      <c r="R225" s="553"/>
      <c r="S225" s="553"/>
    </row>
    <row r="226" spans="14:19" ht="27.95" customHeight="1">
      <c r="N226" s="553"/>
      <c r="O226" s="553"/>
      <c r="P226" s="553"/>
      <c r="Q226" s="553"/>
      <c r="R226" s="553"/>
      <c r="S226" s="553"/>
    </row>
    <row r="227" spans="14:19" ht="27.95" customHeight="1">
      <c r="N227" s="553"/>
      <c r="O227" s="553"/>
      <c r="P227" s="553"/>
      <c r="Q227" s="553"/>
      <c r="R227" s="553"/>
      <c r="S227" s="553"/>
    </row>
    <row r="228" spans="14:19" ht="27.95" customHeight="1">
      <c r="N228" s="553"/>
      <c r="O228" s="553"/>
      <c r="P228" s="553"/>
      <c r="Q228" s="553"/>
      <c r="R228" s="553"/>
      <c r="S228" s="553"/>
    </row>
    <row r="229" spans="14:19" ht="27.95" customHeight="1">
      <c r="N229" s="553"/>
      <c r="O229" s="553"/>
      <c r="P229" s="553"/>
      <c r="Q229" s="553"/>
      <c r="R229" s="553"/>
      <c r="S229" s="553"/>
    </row>
    <row r="230" spans="14:19" ht="27.95" customHeight="1">
      <c r="N230" s="553"/>
      <c r="O230" s="553"/>
      <c r="P230" s="553"/>
      <c r="Q230" s="553"/>
      <c r="R230" s="553"/>
      <c r="S230" s="553"/>
    </row>
    <row r="231" spans="14:19" ht="27.95" customHeight="1">
      <c r="N231" s="553"/>
      <c r="O231" s="553"/>
      <c r="P231" s="553"/>
      <c r="Q231" s="553"/>
      <c r="R231" s="553"/>
      <c r="S231" s="553"/>
    </row>
    <row r="232" spans="14:19" ht="27.95" customHeight="1">
      <c r="N232" s="553"/>
      <c r="O232" s="553"/>
      <c r="P232" s="553"/>
      <c r="Q232" s="553"/>
      <c r="R232" s="553"/>
      <c r="S232" s="553"/>
    </row>
    <row r="233" spans="14:19" ht="27.95" customHeight="1">
      <c r="N233" s="553"/>
      <c r="O233" s="553"/>
      <c r="P233" s="553"/>
      <c r="Q233" s="553"/>
      <c r="R233" s="553"/>
      <c r="S233" s="553"/>
    </row>
    <row r="234" spans="14:19" ht="27.95" customHeight="1">
      <c r="N234" s="553"/>
      <c r="O234" s="553"/>
      <c r="P234" s="553"/>
      <c r="Q234" s="553"/>
      <c r="R234" s="553"/>
      <c r="S234" s="553"/>
    </row>
    <row r="235" spans="14:19" ht="27.95" customHeight="1">
      <c r="N235" s="553"/>
      <c r="O235" s="553"/>
      <c r="P235" s="553"/>
      <c r="Q235" s="553"/>
      <c r="R235" s="553"/>
      <c r="S235" s="553"/>
    </row>
    <row r="236" spans="14:19" ht="27.95" customHeight="1">
      <c r="N236" s="553"/>
      <c r="O236" s="553"/>
      <c r="P236" s="553"/>
      <c r="Q236" s="553"/>
      <c r="R236" s="553"/>
      <c r="S236" s="553"/>
    </row>
    <row r="237" spans="14:19" ht="27.95" customHeight="1">
      <c r="N237" s="553"/>
      <c r="O237" s="553"/>
      <c r="P237" s="553"/>
      <c r="Q237" s="553"/>
      <c r="R237" s="553"/>
      <c r="S237" s="553"/>
    </row>
    <row r="238" spans="14:19" ht="27.95" customHeight="1">
      <c r="N238" s="553"/>
      <c r="O238" s="553"/>
      <c r="P238" s="553"/>
      <c r="Q238" s="553"/>
      <c r="R238" s="553"/>
      <c r="S238" s="553"/>
    </row>
    <row r="239" spans="14:19" ht="27.95" customHeight="1">
      <c r="N239" s="553"/>
      <c r="O239" s="553"/>
      <c r="P239" s="553"/>
      <c r="Q239" s="553"/>
      <c r="R239" s="553"/>
      <c r="S239" s="553"/>
    </row>
    <row r="240" spans="14:19" ht="27.95" customHeight="1">
      <c r="N240" s="553"/>
      <c r="O240" s="553"/>
      <c r="P240" s="553"/>
      <c r="Q240" s="553"/>
      <c r="R240" s="553"/>
      <c r="S240" s="553"/>
    </row>
    <row r="241" spans="14:19" ht="27.95" customHeight="1">
      <c r="N241" s="553"/>
      <c r="O241" s="553"/>
      <c r="P241" s="553"/>
      <c r="Q241" s="553"/>
      <c r="R241" s="553"/>
      <c r="S241" s="553"/>
    </row>
    <row r="242" spans="14:19" ht="27.95" customHeight="1">
      <c r="N242" s="553"/>
      <c r="O242" s="553"/>
      <c r="P242" s="553"/>
      <c r="Q242" s="553"/>
      <c r="R242" s="553"/>
      <c r="S242" s="553"/>
    </row>
    <row r="243" spans="14:19" ht="27.95" customHeight="1">
      <c r="N243" s="553"/>
      <c r="O243" s="553"/>
      <c r="P243" s="553"/>
      <c r="Q243" s="553"/>
      <c r="R243" s="553"/>
      <c r="S243" s="553"/>
    </row>
    <row r="244" spans="14:19" ht="27.95" customHeight="1">
      <c r="N244" s="553"/>
      <c r="O244" s="553"/>
      <c r="P244" s="553"/>
      <c r="Q244" s="553"/>
      <c r="R244" s="553"/>
      <c r="S244" s="553"/>
    </row>
    <row r="245" spans="14:19" ht="27.95" customHeight="1">
      <c r="N245" s="553"/>
      <c r="O245" s="553"/>
      <c r="P245" s="553"/>
      <c r="Q245" s="553"/>
      <c r="R245" s="553"/>
      <c r="S245" s="553"/>
    </row>
    <row r="246" spans="14:19" ht="27.95" customHeight="1">
      <c r="N246" s="553"/>
      <c r="O246" s="553"/>
      <c r="P246" s="553"/>
      <c r="Q246" s="553"/>
      <c r="R246" s="553"/>
      <c r="S246" s="553"/>
    </row>
    <row r="247" spans="14:19" ht="27.95" customHeight="1">
      <c r="N247" s="553"/>
      <c r="O247" s="553"/>
      <c r="P247" s="553"/>
      <c r="Q247" s="553"/>
      <c r="R247" s="553"/>
      <c r="S247" s="553"/>
    </row>
    <row r="248" spans="14:19" ht="27.95" customHeight="1">
      <c r="N248" s="553"/>
      <c r="O248" s="553"/>
      <c r="P248" s="553"/>
      <c r="Q248" s="553"/>
      <c r="R248" s="553"/>
      <c r="S248" s="553"/>
    </row>
    <row r="249" spans="14:19" ht="27.95" customHeight="1">
      <c r="N249" s="553"/>
      <c r="O249" s="553"/>
      <c r="P249" s="553"/>
      <c r="Q249" s="553"/>
      <c r="R249" s="553"/>
      <c r="S249" s="553"/>
    </row>
    <row r="250" spans="14:19" ht="27.95" customHeight="1">
      <c r="N250" s="553"/>
      <c r="O250" s="553"/>
      <c r="P250" s="553"/>
      <c r="Q250" s="553"/>
      <c r="R250" s="553"/>
      <c r="S250" s="553"/>
    </row>
    <row r="251" spans="14:19" ht="27.95" customHeight="1">
      <c r="N251" s="553"/>
      <c r="O251" s="553"/>
      <c r="P251" s="553"/>
      <c r="Q251" s="553"/>
      <c r="R251" s="553"/>
      <c r="S251" s="553"/>
    </row>
    <row r="252" spans="14:19" ht="27.95" customHeight="1">
      <c r="N252" s="553"/>
      <c r="O252" s="553"/>
      <c r="P252" s="553"/>
      <c r="Q252" s="553"/>
      <c r="R252" s="553"/>
      <c r="S252" s="553"/>
    </row>
    <row r="253" spans="14:19" ht="27.95" customHeight="1">
      <c r="N253" s="553"/>
      <c r="O253" s="553"/>
      <c r="P253" s="553"/>
      <c r="Q253" s="553"/>
      <c r="R253" s="553"/>
      <c r="S253" s="553"/>
    </row>
    <row r="254" spans="14:19" ht="27.95" customHeight="1">
      <c r="N254" s="553"/>
      <c r="O254" s="553"/>
      <c r="P254" s="553"/>
      <c r="Q254" s="553"/>
      <c r="R254" s="553"/>
      <c r="S254" s="553"/>
    </row>
    <row r="255" spans="14:19" ht="27.95" customHeight="1">
      <c r="N255" s="553"/>
      <c r="O255" s="553"/>
      <c r="P255" s="553"/>
      <c r="Q255" s="553"/>
      <c r="R255" s="553"/>
      <c r="S255" s="553"/>
    </row>
    <row r="256" spans="14:19" ht="27.95" customHeight="1">
      <c r="N256" s="553"/>
      <c r="O256" s="553"/>
      <c r="P256" s="553"/>
      <c r="Q256" s="553"/>
      <c r="R256" s="553"/>
      <c r="S256" s="553"/>
    </row>
    <row r="257" spans="14:19" ht="27.95" customHeight="1">
      <c r="N257" s="553"/>
      <c r="O257" s="553"/>
      <c r="P257" s="553"/>
      <c r="Q257" s="553"/>
      <c r="R257" s="553"/>
      <c r="S257" s="553"/>
    </row>
    <row r="258" spans="14:19" ht="27.95" customHeight="1">
      <c r="N258" s="553"/>
      <c r="O258" s="553"/>
      <c r="P258" s="553"/>
      <c r="Q258" s="553"/>
      <c r="R258" s="553"/>
      <c r="S258" s="553"/>
    </row>
    <row r="259" spans="14:19" ht="27.95" customHeight="1">
      <c r="N259" s="553"/>
      <c r="O259" s="553"/>
      <c r="P259" s="553"/>
      <c r="Q259" s="553"/>
      <c r="R259" s="553"/>
      <c r="S259" s="553"/>
    </row>
    <row r="260" spans="14:19" ht="27.95" customHeight="1">
      <c r="N260" s="553"/>
      <c r="O260" s="553"/>
      <c r="P260" s="553"/>
      <c r="Q260" s="553"/>
      <c r="R260" s="553"/>
      <c r="S260" s="553"/>
    </row>
    <row r="261" spans="14:19" ht="27.95" customHeight="1">
      <c r="N261" s="553"/>
      <c r="O261" s="553"/>
      <c r="P261" s="553"/>
      <c r="Q261" s="553"/>
      <c r="R261" s="553"/>
      <c r="S261" s="553"/>
    </row>
    <row r="262" spans="14:19" ht="27.95" customHeight="1">
      <c r="N262" s="553"/>
      <c r="O262" s="553"/>
      <c r="P262" s="553"/>
      <c r="Q262" s="553"/>
      <c r="R262" s="553"/>
      <c r="S262" s="553"/>
    </row>
    <row r="263" spans="14:19" ht="27.95" customHeight="1">
      <c r="N263" s="553"/>
      <c r="O263" s="553"/>
      <c r="P263" s="553"/>
      <c r="Q263" s="553"/>
      <c r="R263" s="553"/>
      <c r="S263" s="553"/>
    </row>
    <row r="264" spans="14:19" ht="27.95" customHeight="1">
      <c r="N264" s="553"/>
      <c r="O264" s="553"/>
      <c r="P264" s="553"/>
      <c r="Q264" s="553"/>
      <c r="R264" s="553"/>
      <c r="S264" s="553"/>
    </row>
    <row r="265" spans="14:19" ht="27.95" customHeight="1">
      <c r="N265" s="553"/>
      <c r="O265" s="553"/>
      <c r="P265" s="553"/>
      <c r="Q265" s="553"/>
      <c r="R265" s="553"/>
      <c r="S265" s="553"/>
    </row>
    <row r="266" spans="14:19" ht="27.95" customHeight="1">
      <c r="N266" s="553"/>
      <c r="O266" s="553"/>
      <c r="P266" s="553"/>
      <c r="Q266" s="553"/>
      <c r="R266" s="553"/>
      <c r="S266" s="553"/>
    </row>
    <row r="267" spans="14:19" ht="27.95" customHeight="1">
      <c r="N267" s="553"/>
      <c r="O267" s="553"/>
      <c r="P267" s="553"/>
      <c r="Q267" s="553"/>
      <c r="R267" s="553"/>
      <c r="S267" s="553"/>
    </row>
    <row r="268" spans="14:19" ht="27.95" customHeight="1">
      <c r="N268" s="553"/>
      <c r="O268" s="553"/>
      <c r="P268" s="553"/>
      <c r="Q268" s="553"/>
      <c r="R268" s="553"/>
      <c r="S268" s="553"/>
    </row>
    <row r="269" spans="14:19" ht="27.95" customHeight="1">
      <c r="N269" s="553"/>
      <c r="O269" s="553"/>
      <c r="P269" s="553"/>
      <c r="Q269" s="553"/>
      <c r="R269" s="553"/>
      <c r="S269" s="553"/>
    </row>
    <row r="270" spans="14:19" ht="27.95" customHeight="1">
      <c r="N270" s="553"/>
      <c r="O270" s="553"/>
      <c r="P270" s="553"/>
      <c r="Q270" s="553"/>
      <c r="R270" s="553"/>
      <c r="S270" s="553"/>
    </row>
    <row r="271" spans="14:19" ht="27.95" customHeight="1">
      <c r="N271" s="553"/>
      <c r="O271" s="553"/>
      <c r="P271" s="553"/>
      <c r="Q271" s="553"/>
      <c r="R271" s="553"/>
      <c r="S271" s="553"/>
    </row>
    <row r="272" spans="14:19" ht="27.95" customHeight="1">
      <c r="N272" s="553"/>
      <c r="O272" s="553"/>
      <c r="P272" s="553"/>
      <c r="Q272" s="553"/>
      <c r="R272" s="553"/>
      <c r="S272" s="553"/>
    </row>
    <row r="273" spans="14:19" ht="27.95" customHeight="1">
      <c r="N273" s="553"/>
      <c r="O273" s="553"/>
      <c r="P273" s="553"/>
      <c r="Q273" s="553"/>
      <c r="R273" s="553"/>
      <c r="S273" s="553"/>
    </row>
    <row r="274" spans="14:19" ht="27.95" customHeight="1">
      <c r="N274" s="553"/>
      <c r="O274" s="553"/>
      <c r="P274" s="553"/>
      <c r="Q274" s="553"/>
      <c r="R274" s="553"/>
      <c r="S274" s="553"/>
    </row>
    <row r="275" spans="14:19" ht="27.95" customHeight="1">
      <c r="N275" s="553"/>
      <c r="O275" s="553"/>
      <c r="P275" s="553"/>
      <c r="Q275" s="553"/>
      <c r="R275" s="553"/>
      <c r="S275" s="553"/>
    </row>
    <row r="276" spans="14:19" ht="27.95" customHeight="1">
      <c r="N276" s="553"/>
      <c r="O276" s="553"/>
      <c r="P276" s="553"/>
      <c r="Q276" s="553"/>
      <c r="R276" s="553"/>
      <c r="S276" s="553"/>
    </row>
    <row r="277" spans="14:19" ht="27.95" customHeight="1">
      <c r="N277" s="553"/>
      <c r="O277" s="553"/>
      <c r="P277" s="553"/>
      <c r="Q277" s="553"/>
      <c r="R277" s="553"/>
      <c r="S277" s="553"/>
    </row>
    <row r="278" spans="14:19" ht="27.95" customHeight="1">
      <c r="N278" s="553"/>
      <c r="O278" s="553"/>
      <c r="P278" s="553"/>
      <c r="Q278" s="553"/>
      <c r="R278" s="553"/>
      <c r="S278" s="553"/>
    </row>
    <row r="279" spans="14:19" ht="27.95" customHeight="1">
      <c r="N279" s="553"/>
      <c r="O279" s="553"/>
      <c r="P279" s="553"/>
      <c r="Q279" s="553"/>
      <c r="R279" s="553"/>
      <c r="S279" s="553"/>
    </row>
    <row r="280" spans="14:19" ht="27.95" customHeight="1">
      <c r="N280" s="553"/>
      <c r="O280" s="553"/>
      <c r="P280" s="553"/>
      <c r="Q280" s="553"/>
      <c r="R280" s="553"/>
      <c r="S280" s="553"/>
    </row>
    <row r="281" spans="14:19" ht="27.95" customHeight="1">
      <c r="N281" s="553"/>
      <c r="O281" s="553"/>
      <c r="P281" s="553"/>
      <c r="Q281" s="553"/>
      <c r="R281" s="553"/>
      <c r="S281" s="553"/>
    </row>
    <row r="282" spans="14:19" ht="27.95" customHeight="1">
      <c r="N282" s="553"/>
      <c r="O282" s="553"/>
      <c r="P282" s="553"/>
      <c r="Q282" s="553"/>
      <c r="R282" s="553"/>
      <c r="S282" s="553"/>
    </row>
    <row r="283" spans="14:19" ht="27.95" customHeight="1">
      <c r="N283" s="553"/>
      <c r="O283" s="553"/>
      <c r="P283" s="553"/>
      <c r="Q283" s="553"/>
      <c r="R283" s="553"/>
      <c r="S283" s="553"/>
    </row>
    <row r="284" spans="14:19" ht="27.95" customHeight="1">
      <c r="N284" s="553"/>
      <c r="O284" s="553"/>
      <c r="P284" s="553"/>
      <c r="Q284" s="553"/>
      <c r="R284" s="553"/>
      <c r="S284" s="553"/>
    </row>
    <row r="285" spans="14:19" ht="27.95" customHeight="1">
      <c r="N285" s="553"/>
      <c r="O285" s="553"/>
      <c r="P285" s="553"/>
      <c r="Q285" s="553"/>
      <c r="R285" s="553"/>
      <c r="S285" s="553"/>
    </row>
    <row r="286" spans="14:19" ht="27.95" customHeight="1">
      <c r="N286" s="553"/>
      <c r="O286" s="553"/>
      <c r="P286" s="553"/>
      <c r="Q286" s="553"/>
      <c r="R286" s="553"/>
      <c r="S286" s="553"/>
    </row>
    <row r="287" spans="14:19" ht="27.95" customHeight="1">
      <c r="N287" s="553"/>
      <c r="O287" s="553"/>
      <c r="P287" s="553"/>
      <c r="Q287" s="553"/>
      <c r="R287" s="553"/>
      <c r="S287" s="553"/>
    </row>
    <row r="288" spans="14:19" ht="27.95" customHeight="1">
      <c r="N288" s="553"/>
      <c r="O288" s="553"/>
      <c r="P288" s="553"/>
      <c r="Q288" s="553"/>
      <c r="R288" s="553"/>
      <c r="S288" s="553"/>
    </row>
    <row r="289" spans="14:19" ht="27.95" customHeight="1">
      <c r="N289" s="553"/>
      <c r="O289" s="553"/>
      <c r="P289" s="553"/>
      <c r="Q289" s="553"/>
      <c r="R289" s="553"/>
      <c r="S289" s="553"/>
    </row>
    <row r="290" spans="14:19" ht="27.95" customHeight="1">
      <c r="N290" s="553"/>
      <c r="O290" s="553"/>
      <c r="P290" s="553"/>
      <c r="Q290" s="553"/>
      <c r="R290" s="553"/>
      <c r="S290" s="553"/>
    </row>
    <row r="291" spans="14:19" ht="27.95" customHeight="1">
      <c r="N291" s="553"/>
      <c r="O291" s="553"/>
      <c r="P291" s="553"/>
      <c r="Q291" s="553"/>
      <c r="R291" s="553"/>
      <c r="S291" s="553"/>
    </row>
    <row r="292" spans="14:19" ht="27.95" customHeight="1">
      <c r="N292" s="553"/>
      <c r="O292" s="553"/>
      <c r="P292" s="553"/>
      <c r="Q292" s="553"/>
      <c r="R292" s="553"/>
      <c r="S292" s="553"/>
    </row>
    <row r="293" spans="14:19" ht="27.95" customHeight="1">
      <c r="N293" s="553"/>
      <c r="O293" s="553"/>
      <c r="P293" s="553"/>
      <c r="Q293" s="553"/>
      <c r="R293" s="553"/>
      <c r="S293" s="553"/>
    </row>
    <row r="294" spans="14:19" ht="27.95" customHeight="1">
      <c r="N294" s="553"/>
      <c r="O294" s="553"/>
      <c r="P294" s="553"/>
      <c r="Q294" s="553"/>
      <c r="R294" s="553"/>
      <c r="S294" s="553"/>
    </row>
    <row r="295" spans="14:19" ht="27.95" customHeight="1">
      <c r="N295" s="553"/>
      <c r="O295" s="553"/>
      <c r="P295" s="553"/>
      <c r="Q295" s="553"/>
      <c r="R295" s="553"/>
      <c r="S295" s="553"/>
    </row>
    <row r="296" spans="14:19" ht="27.95" customHeight="1">
      <c r="N296" s="553"/>
      <c r="O296" s="553"/>
      <c r="P296" s="553"/>
      <c r="Q296" s="553"/>
      <c r="R296" s="553"/>
      <c r="S296" s="553"/>
    </row>
    <row r="297" spans="14:19" ht="27.95" customHeight="1">
      <c r="N297" s="553"/>
      <c r="O297" s="553"/>
      <c r="P297" s="553"/>
      <c r="Q297" s="553"/>
      <c r="R297" s="553"/>
      <c r="S297" s="553"/>
    </row>
    <row r="298" spans="14:19" ht="27.95" customHeight="1">
      <c r="N298" s="553"/>
      <c r="O298" s="553"/>
      <c r="P298" s="553"/>
      <c r="Q298" s="553"/>
      <c r="R298" s="553"/>
      <c r="S298" s="553"/>
    </row>
    <row r="299" spans="14:19" ht="27.95" customHeight="1">
      <c r="N299" s="553"/>
      <c r="O299" s="553"/>
      <c r="P299" s="553"/>
      <c r="Q299" s="553"/>
      <c r="R299" s="553"/>
      <c r="S299" s="553"/>
    </row>
    <row r="300" spans="14:19" ht="27.95" customHeight="1">
      <c r="N300" s="553"/>
      <c r="O300" s="553"/>
      <c r="P300" s="553"/>
      <c r="Q300" s="553"/>
      <c r="R300" s="553"/>
      <c r="S300" s="553"/>
    </row>
    <row r="301" spans="14:19" ht="27.95" customHeight="1">
      <c r="N301" s="553"/>
      <c r="O301" s="553"/>
      <c r="P301" s="553"/>
      <c r="Q301" s="553"/>
      <c r="R301" s="553"/>
      <c r="S301" s="553"/>
    </row>
    <row r="302" spans="14:19" ht="27.95" customHeight="1">
      <c r="N302" s="553"/>
      <c r="O302" s="553"/>
      <c r="P302" s="553"/>
      <c r="Q302" s="553"/>
      <c r="R302" s="553"/>
      <c r="S302" s="553"/>
    </row>
    <row r="303" spans="14:19" ht="27.95" customHeight="1">
      <c r="N303" s="553"/>
      <c r="O303" s="553"/>
      <c r="P303" s="553"/>
      <c r="Q303" s="553"/>
      <c r="R303" s="553"/>
      <c r="S303" s="553"/>
    </row>
    <row r="304" spans="14:19" ht="27.95" customHeight="1">
      <c r="N304" s="553"/>
      <c r="O304" s="553"/>
      <c r="P304" s="553"/>
      <c r="Q304" s="553"/>
      <c r="R304" s="553"/>
      <c r="S304" s="553"/>
    </row>
    <row r="305" spans="14:19" ht="27.95" customHeight="1">
      <c r="N305" s="553"/>
      <c r="O305" s="553"/>
      <c r="P305" s="553"/>
      <c r="Q305" s="553"/>
      <c r="R305" s="553"/>
      <c r="S305" s="553"/>
    </row>
    <row r="306" spans="14:19" ht="27.95" customHeight="1">
      <c r="N306" s="553"/>
      <c r="O306" s="553"/>
      <c r="P306" s="553"/>
      <c r="Q306" s="553"/>
      <c r="R306" s="553"/>
      <c r="S306" s="553"/>
    </row>
    <row r="307" spans="14:19" ht="27.95" customHeight="1">
      <c r="N307" s="553"/>
      <c r="O307" s="553"/>
      <c r="P307" s="553"/>
      <c r="Q307" s="553"/>
      <c r="R307" s="553"/>
      <c r="S307" s="553"/>
    </row>
    <row r="308" spans="14:19" ht="27.95" customHeight="1">
      <c r="N308" s="553"/>
      <c r="O308" s="553"/>
      <c r="P308" s="553"/>
      <c r="Q308" s="553"/>
      <c r="R308" s="553"/>
      <c r="S308" s="553"/>
    </row>
    <row r="309" spans="14:19" ht="27.95" customHeight="1">
      <c r="N309" s="553"/>
      <c r="O309" s="553"/>
      <c r="P309" s="553"/>
      <c r="Q309" s="553"/>
      <c r="R309" s="553"/>
      <c r="S309" s="553"/>
    </row>
    <row r="310" spans="14:19" ht="27.95" customHeight="1">
      <c r="N310" s="553"/>
      <c r="O310" s="553"/>
      <c r="P310" s="553"/>
      <c r="Q310" s="553"/>
      <c r="R310" s="553"/>
      <c r="S310" s="553"/>
    </row>
    <row r="311" spans="14:19" ht="27.95" customHeight="1">
      <c r="N311" s="553"/>
      <c r="O311" s="553"/>
      <c r="P311" s="553"/>
      <c r="Q311" s="553"/>
      <c r="R311" s="553"/>
      <c r="S311" s="553"/>
    </row>
    <row r="312" spans="14:19" ht="27.95" customHeight="1">
      <c r="N312" s="553"/>
      <c r="O312" s="553"/>
      <c r="P312" s="553"/>
      <c r="Q312" s="553"/>
      <c r="R312" s="553"/>
      <c r="S312" s="553"/>
    </row>
    <row r="313" spans="14:19" ht="27.95" customHeight="1">
      <c r="N313" s="553"/>
      <c r="O313" s="553"/>
      <c r="P313" s="553"/>
      <c r="Q313" s="553"/>
      <c r="R313" s="553"/>
      <c r="S313" s="553"/>
    </row>
    <row r="314" spans="14:19" ht="27.95" customHeight="1">
      <c r="N314" s="553"/>
      <c r="O314" s="553"/>
      <c r="P314" s="553"/>
      <c r="Q314" s="553"/>
      <c r="R314" s="553"/>
      <c r="S314" s="553"/>
    </row>
    <row r="315" spans="14:19" ht="27.95" customHeight="1">
      <c r="N315" s="553"/>
      <c r="O315" s="553"/>
      <c r="P315" s="553"/>
      <c r="Q315" s="553"/>
      <c r="R315" s="553"/>
      <c r="S315" s="553"/>
    </row>
    <row r="316" spans="14:19" ht="27.95" customHeight="1">
      <c r="N316" s="553"/>
      <c r="O316" s="553"/>
      <c r="P316" s="553"/>
      <c r="Q316" s="553"/>
      <c r="R316" s="553"/>
      <c r="S316" s="553"/>
    </row>
    <row r="317" spans="14:19" ht="27.95" customHeight="1">
      <c r="N317" s="553"/>
      <c r="O317" s="553"/>
      <c r="P317" s="553"/>
      <c r="Q317" s="553"/>
      <c r="R317" s="553"/>
      <c r="S317" s="553"/>
    </row>
    <row r="318" spans="14:19" ht="27.95" customHeight="1">
      <c r="N318" s="553"/>
      <c r="O318" s="553"/>
      <c r="P318" s="553"/>
      <c r="Q318" s="553"/>
      <c r="R318" s="553"/>
      <c r="S318" s="553"/>
    </row>
    <row r="319" spans="14:19" ht="27.95" customHeight="1">
      <c r="N319" s="553"/>
      <c r="O319" s="553"/>
      <c r="P319" s="553"/>
      <c r="Q319" s="553"/>
      <c r="R319" s="553"/>
      <c r="S319" s="553"/>
    </row>
    <row r="320" spans="14:19" ht="27.95" customHeight="1">
      <c r="N320" s="553"/>
      <c r="O320" s="553"/>
      <c r="P320" s="553"/>
      <c r="Q320" s="553"/>
      <c r="R320" s="553"/>
      <c r="S320" s="553"/>
    </row>
    <row r="321" spans="14:19" ht="27.95" customHeight="1">
      <c r="N321" s="553"/>
      <c r="O321" s="553"/>
      <c r="P321" s="553"/>
      <c r="Q321" s="553"/>
      <c r="R321" s="553"/>
      <c r="S321" s="553"/>
    </row>
    <row r="322" spans="14:19" ht="27.95" customHeight="1">
      <c r="N322" s="553"/>
      <c r="O322" s="553"/>
      <c r="P322" s="553"/>
      <c r="Q322" s="553"/>
      <c r="R322" s="553"/>
      <c r="S322" s="553"/>
    </row>
    <row r="323" spans="14:19" ht="27.95" customHeight="1">
      <c r="N323" s="553"/>
      <c r="O323" s="553"/>
      <c r="P323" s="553"/>
      <c r="Q323" s="553"/>
      <c r="R323" s="553"/>
      <c r="S323" s="553"/>
    </row>
    <row r="324" spans="14:19" ht="27.95" customHeight="1">
      <c r="N324" s="553"/>
      <c r="O324" s="553"/>
      <c r="P324" s="553"/>
      <c r="Q324" s="553"/>
      <c r="R324" s="553"/>
      <c r="S324" s="553"/>
    </row>
    <row r="325" spans="14:19" ht="27.95" customHeight="1">
      <c r="N325" s="553"/>
      <c r="O325" s="553"/>
      <c r="P325" s="553"/>
      <c r="Q325" s="553"/>
      <c r="R325" s="553"/>
      <c r="S325" s="553"/>
    </row>
    <row r="326" spans="14:19" ht="27.95" customHeight="1">
      <c r="N326" s="553"/>
      <c r="O326" s="553"/>
      <c r="P326" s="553"/>
      <c r="Q326" s="553"/>
      <c r="R326" s="553"/>
      <c r="S326" s="553"/>
    </row>
    <row r="327" spans="14:19" ht="27.95" customHeight="1">
      <c r="N327" s="553"/>
      <c r="O327" s="553"/>
      <c r="P327" s="553"/>
      <c r="Q327" s="553"/>
      <c r="R327" s="553"/>
      <c r="S327" s="553"/>
    </row>
    <row r="328" spans="14:19" ht="27.95" customHeight="1">
      <c r="N328" s="553"/>
      <c r="O328" s="553"/>
      <c r="P328" s="553"/>
      <c r="Q328" s="553"/>
      <c r="R328" s="553"/>
      <c r="S328" s="553"/>
    </row>
    <row r="329" spans="14:19" ht="27.95" customHeight="1">
      <c r="N329" s="553"/>
      <c r="O329" s="553"/>
      <c r="P329" s="553"/>
      <c r="Q329" s="553"/>
      <c r="R329" s="553"/>
      <c r="S329" s="553"/>
    </row>
    <row r="330" spans="14:19" ht="27.95" customHeight="1">
      <c r="N330" s="553"/>
      <c r="O330" s="553"/>
      <c r="P330" s="553"/>
      <c r="Q330" s="553"/>
      <c r="R330" s="553"/>
      <c r="S330" s="553"/>
    </row>
    <row r="331" spans="14:19" ht="27.95" customHeight="1">
      <c r="N331" s="553"/>
      <c r="O331" s="553"/>
      <c r="P331" s="553"/>
      <c r="Q331" s="553"/>
      <c r="R331" s="553"/>
      <c r="S331" s="553"/>
    </row>
    <row r="332" spans="14:19" ht="27.95" customHeight="1">
      <c r="N332" s="553"/>
      <c r="O332" s="553"/>
      <c r="P332" s="553"/>
      <c r="Q332" s="553"/>
      <c r="R332" s="553"/>
      <c r="S332" s="553"/>
    </row>
    <row r="333" spans="14:19" ht="27.95" customHeight="1">
      <c r="N333" s="553"/>
      <c r="O333" s="553"/>
      <c r="P333" s="553"/>
      <c r="Q333" s="553"/>
      <c r="R333" s="553"/>
      <c r="S333" s="553"/>
    </row>
    <row r="334" spans="14:19" ht="27.95" customHeight="1">
      <c r="N334" s="553"/>
      <c r="O334" s="553"/>
      <c r="P334" s="553"/>
      <c r="Q334" s="553"/>
      <c r="R334" s="553"/>
      <c r="S334" s="553"/>
    </row>
    <row r="335" spans="14:19" ht="27.95" customHeight="1">
      <c r="N335" s="553"/>
      <c r="O335" s="553"/>
      <c r="P335" s="553"/>
      <c r="Q335" s="553"/>
      <c r="R335" s="553"/>
      <c r="S335" s="553"/>
    </row>
    <row r="336" spans="14:19" ht="27.95" customHeight="1">
      <c r="N336" s="553"/>
      <c r="O336" s="553"/>
      <c r="P336" s="553"/>
      <c r="Q336" s="553"/>
      <c r="R336" s="553"/>
      <c r="S336" s="553"/>
    </row>
    <row r="337" spans="14:19" ht="27.95" customHeight="1">
      <c r="N337" s="553"/>
      <c r="O337" s="553"/>
      <c r="P337" s="553"/>
      <c r="Q337" s="553"/>
      <c r="R337" s="553"/>
      <c r="S337" s="553"/>
    </row>
    <row r="338" spans="14:19" ht="27.95" customHeight="1">
      <c r="N338" s="553"/>
      <c r="O338" s="553"/>
      <c r="P338" s="553"/>
      <c r="Q338" s="553"/>
      <c r="R338" s="553"/>
      <c r="S338" s="553"/>
    </row>
    <row r="339" spans="14:19" ht="27.95" customHeight="1">
      <c r="N339" s="553"/>
      <c r="O339" s="553"/>
      <c r="P339" s="553"/>
      <c r="Q339" s="553"/>
      <c r="R339" s="553"/>
      <c r="S339" s="553"/>
    </row>
    <row r="340" spans="14:19" ht="27.95" customHeight="1">
      <c r="N340" s="553"/>
      <c r="O340" s="553"/>
      <c r="P340" s="553"/>
      <c r="Q340" s="553"/>
      <c r="R340" s="553"/>
      <c r="S340" s="553"/>
    </row>
    <row r="341" spans="14:19" ht="27.95" customHeight="1">
      <c r="N341" s="553"/>
      <c r="O341" s="553"/>
      <c r="P341" s="553"/>
      <c r="Q341" s="553"/>
      <c r="R341" s="553"/>
      <c r="S341" s="553"/>
    </row>
    <row r="342" spans="14:19" ht="27.95" customHeight="1">
      <c r="N342" s="553"/>
      <c r="O342" s="553"/>
      <c r="P342" s="553"/>
      <c r="Q342" s="553"/>
      <c r="R342" s="553"/>
      <c r="S342" s="553"/>
    </row>
    <row r="343" spans="14:19" ht="27.95" customHeight="1">
      <c r="N343" s="553"/>
      <c r="O343" s="553"/>
      <c r="P343" s="553"/>
      <c r="Q343" s="553"/>
      <c r="R343" s="553"/>
      <c r="S343" s="553"/>
    </row>
    <row r="344" spans="14:19" ht="27.95" customHeight="1">
      <c r="N344" s="553"/>
      <c r="O344" s="553"/>
      <c r="P344" s="553"/>
      <c r="Q344" s="553"/>
      <c r="R344" s="553"/>
      <c r="S344" s="553"/>
    </row>
    <row r="345" spans="14:19" ht="27.95" customHeight="1">
      <c r="N345" s="553"/>
      <c r="O345" s="553"/>
      <c r="P345" s="553"/>
      <c r="Q345" s="553"/>
      <c r="R345" s="553"/>
      <c r="S345" s="553"/>
    </row>
    <row r="346" spans="14:19" ht="27.95" customHeight="1">
      <c r="N346" s="553"/>
      <c r="O346" s="553"/>
      <c r="P346" s="553"/>
      <c r="Q346" s="553"/>
      <c r="R346" s="553"/>
      <c r="S346" s="553"/>
    </row>
    <row r="347" spans="14:19" ht="27.95" customHeight="1">
      <c r="N347" s="553"/>
      <c r="O347" s="553"/>
      <c r="P347" s="553"/>
      <c r="Q347" s="553"/>
      <c r="R347" s="553"/>
      <c r="S347" s="553"/>
    </row>
    <row r="348" spans="14:19" ht="27.95" customHeight="1">
      <c r="N348" s="553"/>
      <c r="O348" s="553"/>
      <c r="P348" s="553"/>
      <c r="Q348" s="553"/>
      <c r="R348" s="553"/>
      <c r="S348" s="553"/>
    </row>
    <row r="349" spans="14:19" ht="27.95" customHeight="1">
      <c r="N349" s="553"/>
      <c r="O349" s="553"/>
      <c r="P349" s="553"/>
      <c r="Q349" s="553"/>
      <c r="R349" s="553"/>
      <c r="S349" s="553"/>
    </row>
    <row r="350" spans="14:19" ht="27.95" customHeight="1">
      <c r="N350" s="553"/>
      <c r="O350" s="553"/>
      <c r="P350" s="553"/>
      <c r="Q350" s="553"/>
      <c r="R350" s="553"/>
      <c r="S350" s="553"/>
    </row>
    <row r="351" spans="14:19" ht="27.95" customHeight="1">
      <c r="N351" s="553"/>
      <c r="O351" s="553"/>
      <c r="P351" s="553"/>
      <c r="Q351" s="553"/>
      <c r="R351" s="553"/>
      <c r="S351" s="553"/>
    </row>
    <row r="352" spans="14:19" ht="27.95" customHeight="1">
      <c r="N352" s="553"/>
      <c r="O352" s="553"/>
      <c r="P352" s="553"/>
      <c r="Q352" s="553"/>
      <c r="R352" s="553"/>
      <c r="S352" s="553"/>
    </row>
    <row r="353" spans="14:19" ht="27.95" customHeight="1">
      <c r="N353" s="553"/>
      <c r="O353" s="553"/>
      <c r="P353" s="553"/>
      <c r="Q353" s="553"/>
      <c r="R353" s="553"/>
      <c r="S353" s="553"/>
    </row>
    <row r="354" spans="14:19" ht="27.95" customHeight="1">
      <c r="N354" s="553"/>
      <c r="O354" s="553"/>
      <c r="P354" s="553"/>
      <c r="Q354" s="553"/>
      <c r="R354" s="553"/>
      <c r="S354" s="553"/>
    </row>
    <row r="355" spans="14:19" ht="27.95" customHeight="1">
      <c r="N355" s="553"/>
      <c r="O355" s="553"/>
      <c r="P355" s="553"/>
      <c r="Q355" s="553"/>
      <c r="R355" s="553"/>
      <c r="S355" s="553"/>
    </row>
    <row r="356" spans="14:19" ht="27.95" customHeight="1">
      <c r="N356" s="553"/>
      <c r="O356" s="553"/>
      <c r="P356" s="553"/>
      <c r="Q356" s="553"/>
      <c r="R356" s="553"/>
      <c r="S356" s="553"/>
    </row>
    <row r="357" spans="14:19" ht="27.95" customHeight="1">
      <c r="N357" s="553"/>
      <c r="O357" s="553"/>
      <c r="P357" s="553"/>
      <c r="Q357" s="553"/>
      <c r="R357" s="553"/>
      <c r="S357" s="553"/>
    </row>
    <row r="358" spans="14:19" ht="27.95" customHeight="1">
      <c r="N358" s="553"/>
      <c r="O358" s="553"/>
      <c r="P358" s="553"/>
      <c r="Q358" s="553"/>
      <c r="R358" s="553"/>
      <c r="S358" s="553"/>
    </row>
    <row r="359" spans="14:19" ht="27.95" customHeight="1">
      <c r="N359" s="553"/>
      <c r="O359" s="553"/>
      <c r="P359" s="553"/>
      <c r="Q359" s="553"/>
      <c r="R359" s="553"/>
      <c r="S359" s="553"/>
    </row>
    <row r="360" spans="14:19" ht="27.95" customHeight="1">
      <c r="N360" s="553"/>
      <c r="O360" s="553"/>
      <c r="P360" s="553"/>
      <c r="Q360" s="553"/>
      <c r="R360" s="553"/>
      <c r="S360" s="553"/>
    </row>
    <row r="361" spans="14:19" ht="27.95" customHeight="1">
      <c r="N361" s="553"/>
      <c r="O361" s="553"/>
      <c r="P361" s="553"/>
      <c r="Q361" s="553"/>
      <c r="R361" s="553"/>
      <c r="S361" s="553"/>
    </row>
    <row r="362" spans="14:19" ht="27.95" customHeight="1">
      <c r="N362" s="553"/>
      <c r="O362" s="553"/>
      <c r="P362" s="553"/>
      <c r="Q362" s="553"/>
      <c r="R362" s="553"/>
      <c r="S362" s="553"/>
    </row>
    <row r="363" spans="14:19" ht="27.95" customHeight="1">
      <c r="N363" s="553"/>
      <c r="O363" s="553"/>
      <c r="P363" s="553"/>
      <c r="Q363" s="553"/>
      <c r="R363" s="553"/>
      <c r="S363" s="553"/>
    </row>
    <row r="364" spans="14:19" ht="27.95" customHeight="1">
      <c r="N364" s="553"/>
      <c r="O364" s="553"/>
      <c r="P364" s="553"/>
      <c r="Q364" s="553"/>
      <c r="R364" s="553"/>
      <c r="S364" s="553"/>
    </row>
    <row r="365" spans="14:19" ht="27.95" customHeight="1">
      <c r="N365" s="553"/>
      <c r="O365" s="553"/>
      <c r="P365" s="553"/>
      <c r="Q365" s="553"/>
      <c r="R365" s="553"/>
      <c r="S365" s="553"/>
    </row>
    <row r="366" spans="14:19" ht="27.95" customHeight="1">
      <c r="N366" s="553"/>
      <c r="O366" s="553"/>
      <c r="P366" s="553"/>
      <c r="Q366" s="553"/>
      <c r="R366" s="553"/>
      <c r="S366" s="553"/>
    </row>
    <row r="367" spans="14:19" ht="27.95" customHeight="1">
      <c r="N367" s="553"/>
      <c r="O367" s="553"/>
      <c r="P367" s="553"/>
      <c r="Q367" s="553"/>
      <c r="R367" s="553"/>
      <c r="S367" s="553"/>
    </row>
    <row r="368" spans="14:19" ht="27.95" customHeight="1">
      <c r="N368" s="553"/>
      <c r="O368" s="553"/>
      <c r="P368" s="553"/>
      <c r="Q368" s="553"/>
      <c r="R368" s="553"/>
      <c r="S368" s="553"/>
    </row>
    <row r="369" spans="14:19" ht="27.95" customHeight="1">
      <c r="N369" s="553"/>
      <c r="O369" s="553"/>
      <c r="P369" s="553"/>
      <c r="Q369" s="553"/>
      <c r="R369" s="553"/>
      <c r="S369" s="553"/>
    </row>
    <row r="370" spans="14:19" ht="27.95" customHeight="1">
      <c r="N370" s="553"/>
      <c r="O370" s="553"/>
      <c r="P370" s="553"/>
      <c r="Q370" s="553"/>
      <c r="R370" s="553"/>
      <c r="S370" s="553"/>
    </row>
    <row r="371" spans="14:19" ht="27.95" customHeight="1">
      <c r="N371" s="553"/>
      <c r="O371" s="553"/>
      <c r="P371" s="553"/>
      <c r="Q371" s="553"/>
      <c r="R371" s="553"/>
      <c r="S371" s="553"/>
    </row>
    <row r="372" spans="14:19" ht="27.95" customHeight="1">
      <c r="N372" s="553"/>
      <c r="O372" s="553"/>
      <c r="P372" s="553"/>
      <c r="Q372" s="553"/>
      <c r="R372" s="553"/>
      <c r="S372" s="553"/>
    </row>
    <row r="373" spans="14:19" ht="27.95" customHeight="1">
      <c r="N373" s="553"/>
      <c r="O373" s="553"/>
      <c r="P373" s="553"/>
      <c r="Q373" s="553"/>
      <c r="R373" s="553"/>
      <c r="S373" s="553"/>
    </row>
    <row r="374" spans="14:19" ht="27.95" customHeight="1">
      <c r="N374" s="553"/>
      <c r="O374" s="553"/>
      <c r="P374" s="553"/>
      <c r="Q374" s="553"/>
      <c r="R374" s="553"/>
      <c r="S374" s="553"/>
    </row>
    <row r="375" spans="14:19" ht="27.95" customHeight="1">
      <c r="N375" s="553"/>
      <c r="O375" s="553"/>
      <c r="P375" s="553"/>
      <c r="Q375" s="553"/>
      <c r="R375" s="553"/>
      <c r="S375" s="553"/>
    </row>
    <row r="376" spans="14:19" ht="27.95" customHeight="1">
      <c r="N376" s="553"/>
      <c r="O376" s="553"/>
      <c r="P376" s="553"/>
      <c r="Q376" s="553"/>
      <c r="R376" s="553"/>
      <c r="S376" s="553"/>
    </row>
    <row r="377" spans="14:19" ht="27.95" customHeight="1">
      <c r="N377" s="553"/>
      <c r="O377" s="553"/>
      <c r="P377" s="553"/>
      <c r="Q377" s="553"/>
      <c r="R377" s="553"/>
      <c r="S377" s="553"/>
    </row>
    <row r="378" spans="14:19" ht="27.95" customHeight="1">
      <c r="N378" s="553"/>
      <c r="O378" s="553"/>
      <c r="P378" s="553"/>
      <c r="Q378" s="553"/>
      <c r="R378" s="553"/>
      <c r="S378" s="553"/>
    </row>
    <row r="379" spans="14:19" ht="27.95" customHeight="1">
      <c r="N379" s="553"/>
      <c r="O379" s="553"/>
      <c r="P379" s="553"/>
      <c r="Q379" s="553"/>
      <c r="R379" s="553"/>
      <c r="S379" s="553"/>
    </row>
    <row r="380" spans="14:19" ht="27.95" customHeight="1">
      <c r="N380" s="553"/>
      <c r="O380" s="553"/>
      <c r="P380" s="553"/>
      <c r="Q380" s="553"/>
      <c r="R380" s="553"/>
      <c r="S380" s="553"/>
    </row>
    <row r="381" spans="14:19" ht="27.95" customHeight="1">
      <c r="N381" s="553"/>
      <c r="O381" s="553"/>
      <c r="P381" s="553"/>
      <c r="Q381" s="553"/>
      <c r="R381" s="553"/>
      <c r="S381" s="553"/>
    </row>
    <row r="382" spans="14:19" ht="27.95" customHeight="1">
      <c r="N382" s="553"/>
      <c r="O382" s="553"/>
      <c r="P382" s="553"/>
      <c r="Q382" s="553"/>
      <c r="R382" s="553"/>
      <c r="S382" s="553"/>
    </row>
    <row r="383" spans="14:19" ht="27.95" customHeight="1">
      <c r="N383" s="553"/>
      <c r="O383" s="553"/>
      <c r="P383" s="553"/>
      <c r="Q383" s="553"/>
      <c r="R383" s="553"/>
      <c r="S383" s="553"/>
    </row>
    <row r="384" spans="14:19" ht="27.95" customHeight="1">
      <c r="N384" s="553"/>
      <c r="O384" s="553"/>
      <c r="P384" s="553"/>
      <c r="Q384" s="553"/>
      <c r="R384" s="553"/>
      <c r="S384" s="553"/>
    </row>
    <row r="385" spans="14:19" ht="27.95" customHeight="1">
      <c r="N385" s="553"/>
      <c r="O385" s="553"/>
      <c r="P385" s="553"/>
      <c r="Q385" s="553"/>
      <c r="R385" s="553"/>
      <c r="S385" s="553"/>
    </row>
    <row r="386" spans="14:19" ht="27.95" customHeight="1">
      <c r="N386" s="553"/>
      <c r="O386" s="553"/>
      <c r="P386" s="553"/>
      <c r="Q386" s="553"/>
      <c r="R386" s="553"/>
      <c r="S386" s="553"/>
    </row>
    <row r="387" spans="14:19" ht="27.95" customHeight="1">
      <c r="N387" s="553"/>
      <c r="O387" s="553"/>
      <c r="P387" s="553"/>
      <c r="Q387" s="553"/>
      <c r="R387" s="553"/>
      <c r="S387" s="553"/>
    </row>
    <row r="388" spans="14:19" ht="27.95" customHeight="1">
      <c r="N388" s="553"/>
      <c r="O388" s="553"/>
      <c r="P388" s="553"/>
      <c r="Q388" s="553"/>
      <c r="R388" s="553"/>
      <c r="S388" s="553"/>
    </row>
    <row r="389" spans="14:19" ht="27.95" customHeight="1">
      <c r="N389" s="553"/>
      <c r="O389" s="553"/>
      <c r="P389" s="553"/>
      <c r="Q389" s="553"/>
      <c r="R389" s="553"/>
      <c r="S389" s="553"/>
    </row>
    <row r="390" spans="14:19" ht="27.95" customHeight="1">
      <c r="N390" s="553"/>
      <c r="O390" s="553"/>
      <c r="P390" s="553"/>
      <c r="Q390" s="553"/>
      <c r="R390" s="553"/>
      <c r="S390" s="553"/>
    </row>
    <row r="391" spans="14:19" ht="27.95" customHeight="1">
      <c r="N391" s="553"/>
      <c r="O391" s="553"/>
      <c r="P391" s="553"/>
      <c r="Q391" s="553"/>
      <c r="R391" s="553"/>
      <c r="S391" s="553"/>
    </row>
    <row r="392" spans="14:19" ht="27.95" customHeight="1">
      <c r="N392" s="553"/>
      <c r="O392" s="553"/>
      <c r="P392" s="553"/>
      <c r="Q392" s="553"/>
      <c r="R392" s="553"/>
      <c r="S392" s="553"/>
    </row>
    <row r="393" spans="14:19" ht="27.95" customHeight="1">
      <c r="N393" s="553"/>
      <c r="O393" s="553"/>
      <c r="P393" s="553"/>
      <c r="Q393" s="553"/>
      <c r="R393" s="553"/>
      <c r="S393" s="553"/>
    </row>
    <row r="394" spans="14:19" ht="27.95" customHeight="1">
      <c r="N394" s="553"/>
      <c r="O394" s="553"/>
      <c r="P394" s="553"/>
      <c r="Q394" s="553"/>
      <c r="R394" s="553"/>
      <c r="S394" s="553"/>
    </row>
    <row r="395" spans="14:19" ht="27.95" customHeight="1">
      <c r="N395" s="553"/>
      <c r="O395" s="553"/>
      <c r="P395" s="553"/>
      <c r="Q395" s="553"/>
      <c r="R395" s="553"/>
      <c r="S395" s="553"/>
    </row>
    <row r="396" spans="14:19" ht="27.95" customHeight="1">
      <c r="N396" s="553"/>
      <c r="O396" s="553"/>
      <c r="P396" s="553"/>
      <c r="Q396" s="553"/>
      <c r="R396" s="553"/>
      <c r="S396" s="553"/>
    </row>
    <row r="397" spans="14:19" ht="27.95" customHeight="1">
      <c r="N397" s="553"/>
      <c r="O397" s="553"/>
      <c r="P397" s="553"/>
      <c r="Q397" s="553"/>
      <c r="R397" s="553"/>
      <c r="S397" s="553"/>
    </row>
    <row r="398" spans="14:19" ht="27.95" customHeight="1">
      <c r="N398" s="553"/>
      <c r="O398" s="553"/>
      <c r="P398" s="553"/>
      <c r="Q398" s="553"/>
      <c r="R398" s="553"/>
      <c r="S398" s="553"/>
    </row>
    <row r="399" spans="14:19" ht="27.95" customHeight="1">
      <c r="N399" s="553"/>
      <c r="O399" s="553"/>
      <c r="P399" s="553"/>
      <c r="Q399" s="553"/>
      <c r="R399" s="553"/>
      <c r="S399" s="553"/>
    </row>
    <row r="400" spans="14:19" ht="27.95" customHeight="1">
      <c r="N400" s="553"/>
      <c r="O400" s="553"/>
      <c r="P400" s="553"/>
      <c r="Q400" s="553"/>
      <c r="R400" s="553"/>
      <c r="S400" s="553"/>
    </row>
    <row r="401" spans="14:19" ht="27.95" customHeight="1">
      <c r="N401" s="553"/>
      <c r="O401" s="553"/>
      <c r="P401" s="553"/>
      <c r="Q401" s="553"/>
      <c r="R401" s="553"/>
      <c r="S401" s="553"/>
    </row>
    <row r="402" spans="14:19" ht="27.95" customHeight="1">
      <c r="N402" s="553"/>
      <c r="O402" s="553"/>
      <c r="P402" s="553"/>
      <c r="Q402" s="553"/>
      <c r="R402" s="553"/>
      <c r="S402" s="553"/>
    </row>
    <row r="403" spans="14:19" ht="27.95" customHeight="1">
      <c r="N403" s="553"/>
      <c r="O403" s="553"/>
      <c r="P403" s="553"/>
      <c r="Q403" s="553"/>
      <c r="R403" s="553"/>
      <c r="S403" s="553"/>
    </row>
    <row r="404" spans="14:19" ht="27.95" customHeight="1">
      <c r="N404" s="553"/>
      <c r="O404" s="553"/>
      <c r="P404" s="553"/>
      <c r="Q404" s="553"/>
      <c r="R404" s="553"/>
      <c r="S404" s="553"/>
    </row>
    <row r="405" spans="14:19" ht="27.95" customHeight="1">
      <c r="N405" s="553"/>
      <c r="O405" s="553"/>
      <c r="P405" s="553"/>
      <c r="Q405" s="553"/>
      <c r="R405" s="553"/>
      <c r="S405" s="553"/>
    </row>
    <row r="406" spans="14:19" ht="27.95" customHeight="1">
      <c r="N406" s="553"/>
      <c r="O406" s="553"/>
      <c r="P406" s="553"/>
      <c r="Q406" s="553"/>
      <c r="R406" s="553"/>
      <c r="S406" s="553"/>
    </row>
    <row r="407" spans="14:19" ht="27.95" customHeight="1">
      <c r="N407" s="553"/>
      <c r="O407" s="553"/>
      <c r="P407" s="553"/>
      <c r="Q407" s="553"/>
      <c r="R407" s="553"/>
      <c r="S407" s="553"/>
    </row>
    <row r="408" spans="14:19" ht="27.95" customHeight="1">
      <c r="N408" s="553"/>
      <c r="O408" s="553"/>
      <c r="P408" s="553"/>
      <c r="Q408" s="553"/>
      <c r="R408" s="553"/>
      <c r="S408" s="553"/>
    </row>
    <row r="409" spans="14:19" ht="27.95" customHeight="1">
      <c r="N409" s="553"/>
      <c r="O409" s="553"/>
      <c r="P409" s="553"/>
      <c r="Q409" s="553"/>
      <c r="R409" s="553"/>
      <c r="S409" s="553"/>
    </row>
    <row r="410" spans="14:19" ht="27.95" customHeight="1">
      <c r="N410" s="553"/>
      <c r="O410" s="553"/>
      <c r="P410" s="553"/>
      <c r="Q410" s="553"/>
      <c r="R410" s="553"/>
      <c r="S410" s="553"/>
    </row>
    <row r="411" spans="14:19" ht="27.95" customHeight="1">
      <c r="N411" s="553"/>
      <c r="O411" s="553"/>
      <c r="P411" s="553"/>
      <c r="Q411" s="553"/>
      <c r="R411" s="553"/>
      <c r="S411" s="553"/>
    </row>
    <row r="412" spans="14:19" ht="27.95" customHeight="1">
      <c r="N412" s="553"/>
      <c r="O412" s="553"/>
      <c r="P412" s="553"/>
      <c r="Q412" s="553"/>
      <c r="R412" s="553"/>
      <c r="S412" s="553"/>
    </row>
    <row r="413" spans="14:19" ht="27.95" customHeight="1">
      <c r="N413" s="553"/>
      <c r="O413" s="553"/>
      <c r="P413" s="553"/>
      <c r="Q413" s="553"/>
      <c r="R413" s="553"/>
      <c r="S413" s="553"/>
    </row>
    <row r="414" spans="14:19" ht="27.95" customHeight="1">
      <c r="N414" s="553"/>
      <c r="O414" s="553"/>
      <c r="P414" s="553"/>
      <c r="Q414" s="553"/>
      <c r="R414" s="553"/>
      <c r="S414" s="553"/>
    </row>
    <row r="415" spans="14:19" ht="27.95" customHeight="1">
      <c r="N415" s="553"/>
      <c r="O415" s="553"/>
      <c r="P415" s="553"/>
      <c r="Q415" s="553"/>
      <c r="R415" s="553"/>
      <c r="S415" s="553"/>
    </row>
    <row r="416" spans="14:19" ht="27.95" customHeight="1">
      <c r="N416" s="553"/>
      <c r="O416" s="553"/>
      <c r="P416" s="553"/>
      <c r="Q416" s="553"/>
      <c r="R416" s="553"/>
      <c r="S416" s="553"/>
    </row>
    <row r="417" spans="14:19" ht="27.95" customHeight="1">
      <c r="N417" s="553"/>
      <c r="O417" s="553"/>
      <c r="P417" s="553"/>
      <c r="Q417" s="553"/>
      <c r="R417" s="553"/>
      <c r="S417" s="553"/>
    </row>
    <row r="418" spans="14:19" ht="27.95" customHeight="1">
      <c r="N418" s="553"/>
      <c r="O418" s="553"/>
      <c r="P418" s="553"/>
      <c r="Q418" s="553"/>
      <c r="R418" s="553"/>
      <c r="S418" s="553"/>
    </row>
    <row r="419" spans="14:19" ht="27.95" customHeight="1">
      <c r="N419" s="553"/>
      <c r="O419" s="553"/>
      <c r="P419" s="553"/>
      <c r="Q419" s="553"/>
      <c r="R419" s="553"/>
      <c r="S419" s="553"/>
    </row>
    <row r="420" spans="14:19" ht="27.95" customHeight="1">
      <c r="N420" s="553"/>
      <c r="O420" s="553"/>
      <c r="P420" s="553"/>
      <c r="Q420" s="553"/>
      <c r="R420" s="553"/>
      <c r="S420" s="553"/>
    </row>
    <row r="421" spans="14:19" ht="27.95" customHeight="1">
      <c r="N421" s="553"/>
      <c r="O421" s="553"/>
      <c r="P421" s="553"/>
      <c r="Q421" s="553"/>
      <c r="R421" s="553"/>
      <c r="S421" s="553"/>
    </row>
    <row r="422" spans="14:19" ht="27.95" customHeight="1">
      <c r="N422" s="553"/>
      <c r="O422" s="553"/>
      <c r="P422" s="553"/>
      <c r="Q422" s="553"/>
      <c r="R422" s="553"/>
      <c r="S422" s="553"/>
    </row>
    <row r="423" spans="14:19" ht="27.95" customHeight="1">
      <c r="N423" s="553"/>
      <c r="O423" s="553"/>
      <c r="P423" s="553"/>
      <c r="Q423" s="553"/>
      <c r="R423" s="553"/>
      <c r="S423" s="553"/>
    </row>
    <row r="424" spans="14:19" ht="27.95" customHeight="1">
      <c r="N424" s="553"/>
      <c r="O424" s="553"/>
      <c r="P424" s="553"/>
      <c r="Q424" s="553"/>
      <c r="R424" s="553"/>
      <c r="S424" s="553"/>
    </row>
    <row r="425" spans="14:19" ht="27.95" customHeight="1">
      <c r="N425" s="553"/>
      <c r="O425" s="553"/>
      <c r="P425" s="553"/>
      <c r="Q425" s="553"/>
      <c r="R425" s="553"/>
      <c r="S425" s="553"/>
    </row>
    <row r="426" spans="14:19" ht="27.95" customHeight="1">
      <c r="N426" s="553"/>
      <c r="O426" s="553"/>
      <c r="P426" s="553"/>
      <c r="Q426" s="553"/>
      <c r="R426" s="553"/>
      <c r="S426" s="553"/>
    </row>
    <row r="427" spans="14:19" ht="27.95" customHeight="1">
      <c r="N427" s="553"/>
      <c r="O427" s="553"/>
      <c r="P427" s="553"/>
      <c r="Q427" s="553"/>
      <c r="R427" s="553"/>
      <c r="S427" s="553"/>
    </row>
    <row r="428" spans="14:19" ht="27.95" customHeight="1">
      <c r="N428" s="553"/>
      <c r="O428" s="553"/>
      <c r="P428" s="553"/>
      <c r="Q428" s="553"/>
      <c r="R428" s="553"/>
      <c r="S428" s="553"/>
    </row>
    <row r="429" spans="14:19" ht="27.95" customHeight="1">
      <c r="N429" s="553"/>
      <c r="O429" s="553"/>
      <c r="P429" s="553"/>
      <c r="Q429" s="553"/>
      <c r="R429" s="553"/>
      <c r="S429" s="553"/>
    </row>
    <row r="430" spans="14:19" ht="27.95" customHeight="1">
      <c r="N430" s="553"/>
      <c r="O430" s="553"/>
      <c r="P430" s="553"/>
      <c r="Q430" s="553"/>
      <c r="R430" s="553"/>
      <c r="S430" s="553"/>
    </row>
    <row r="431" spans="14:19" ht="27.95" customHeight="1">
      <c r="N431" s="553"/>
      <c r="O431" s="553"/>
      <c r="P431" s="553"/>
      <c r="Q431" s="553"/>
      <c r="R431" s="553"/>
      <c r="S431" s="553"/>
    </row>
    <row r="432" spans="14:19" ht="27.95" customHeight="1">
      <c r="N432" s="553"/>
      <c r="O432" s="553"/>
      <c r="P432" s="553"/>
      <c r="Q432" s="553"/>
      <c r="R432" s="553"/>
      <c r="S432" s="553"/>
    </row>
    <row r="433" spans="14:19" ht="27.95" customHeight="1">
      <c r="N433" s="553"/>
      <c r="O433" s="553"/>
      <c r="P433" s="553"/>
      <c r="Q433" s="553"/>
      <c r="R433" s="553"/>
      <c r="S433" s="553"/>
    </row>
    <row r="434" spans="14:19" ht="27.95" customHeight="1">
      <c r="N434" s="553"/>
      <c r="O434" s="553"/>
      <c r="P434" s="553"/>
      <c r="Q434" s="553"/>
      <c r="R434" s="553"/>
      <c r="S434" s="553"/>
    </row>
    <row r="435" spans="14:19" ht="27.95" customHeight="1">
      <c r="N435" s="553"/>
      <c r="O435" s="553"/>
      <c r="P435" s="553"/>
      <c r="Q435" s="553"/>
      <c r="R435" s="553"/>
      <c r="S435" s="553"/>
    </row>
    <row r="436" spans="14:19" ht="27.95" customHeight="1">
      <c r="N436" s="553"/>
      <c r="O436" s="553"/>
      <c r="P436" s="553"/>
      <c r="Q436" s="553"/>
      <c r="R436" s="553"/>
      <c r="S436" s="553"/>
    </row>
    <row r="437" spans="14:19" ht="27.95" customHeight="1">
      <c r="N437" s="553"/>
      <c r="O437" s="553"/>
      <c r="P437" s="553"/>
      <c r="Q437" s="553"/>
      <c r="R437" s="553"/>
      <c r="S437" s="553"/>
    </row>
    <row r="438" spans="14:19" ht="27.95" customHeight="1">
      <c r="N438" s="553"/>
      <c r="O438" s="553"/>
      <c r="P438" s="553"/>
      <c r="Q438" s="553"/>
      <c r="R438" s="553"/>
      <c r="S438" s="553"/>
    </row>
    <row r="439" spans="14:19" ht="27.95" customHeight="1">
      <c r="N439" s="553"/>
      <c r="O439" s="553"/>
      <c r="P439" s="553"/>
      <c r="Q439" s="553"/>
      <c r="R439" s="553"/>
      <c r="S439" s="553"/>
    </row>
    <row r="440" spans="14:19" ht="27.95" customHeight="1">
      <c r="N440" s="553"/>
      <c r="O440" s="553"/>
      <c r="P440" s="553"/>
      <c r="Q440" s="553"/>
      <c r="R440" s="553"/>
      <c r="S440" s="553"/>
    </row>
    <row r="441" spans="14:19" ht="27.95" customHeight="1">
      <c r="N441" s="553"/>
      <c r="O441" s="553"/>
      <c r="P441" s="553"/>
      <c r="Q441" s="553"/>
      <c r="R441" s="553"/>
      <c r="S441" s="553"/>
    </row>
    <row r="442" spans="14:19" ht="27.95" customHeight="1">
      <c r="N442" s="553"/>
      <c r="O442" s="553"/>
      <c r="P442" s="553"/>
      <c r="Q442" s="553"/>
      <c r="R442" s="553"/>
      <c r="S442" s="553"/>
    </row>
    <row r="443" spans="14:19" ht="27.95" customHeight="1">
      <c r="N443" s="553"/>
      <c r="O443" s="553"/>
      <c r="P443" s="553"/>
      <c r="Q443" s="553"/>
      <c r="R443" s="553"/>
      <c r="S443" s="553"/>
    </row>
    <row r="444" spans="14:19" ht="27.95" customHeight="1">
      <c r="N444" s="553"/>
      <c r="O444" s="553"/>
      <c r="P444" s="553"/>
      <c r="Q444" s="553"/>
      <c r="R444" s="553"/>
      <c r="S444" s="553"/>
    </row>
    <row r="445" spans="14:19" ht="27.95" customHeight="1">
      <c r="N445" s="553"/>
      <c r="O445" s="553"/>
      <c r="P445" s="553"/>
      <c r="Q445" s="553"/>
      <c r="R445" s="553"/>
      <c r="S445" s="553"/>
    </row>
    <row r="446" spans="14:19" ht="27.95" customHeight="1">
      <c r="N446" s="553"/>
      <c r="O446" s="553"/>
      <c r="P446" s="553"/>
      <c r="Q446" s="553"/>
      <c r="R446" s="553"/>
      <c r="S446" s="553"/>
    </row>
    <row r="447" spans="14:19" ht="27.95" customHeight="1">
      <c r="N447" s="553"/>
      <c r="O447" s="553"/>
      <c r="P447" s="553"/>
      <c r="Q447" s="553"/>
      <c r="R447" s="553"/>
      <c r="S447" s="553"/>
    </row>
    <row r="448" spans="14:19" ht="27.95" customHeight="1">
      <c r="N448" s="553"/>
      <c r="O448" s="553"/>
      <c r="P448" s="553"/>
      <c r="Q448" s="553"/>
      <c r="R448" s="553"/>
      <c r="S448" s="553"/>
    </row>
    <row r="449" spans="14:19" ht="27.95" customHeight="1">
      <c r="N449" s="553"/>
      <c r="O449" s="553"/>
      <c r="P449" s="553"/>
      <c r="Q449" s="553"/>
      <c r="R449" s="553"/>
      <c r="S449" s="553"/>
    </row>
    <row r="450" spans="14:19" ht="27.95" customHeight="1">
      <c r="N450" s="553"/>
      <c r="O450" s="553"/>
      <c r="P450" s="553"/>
      <c r="Q450" s="553"/>
      <c r="R450" s="553"/>
      <c r="S450" s="553"/>
    </row>
    <row r="451" spans="14:19" ht="27.95" customHeight="1">
      <c r="N451" s="553"/>
      <c r="O451" s="553"/>
      <c r="P451" s="553"/>
      <c r="Q451" s="553"/>
      <c r="R451" s="553"/>
      <c r="S451" s="553"/>
    </row>
    <row r="452" spans="14:19" ht="27.95" customHeight="1">
      <c r="N452" s="553"/>
      <c r="O452" s="553"/>
      <c r="P452" s="553"/>
      <c r="Q452" s="553"/>
      <c r="R452" s="553"/>
      <c r="S452" s="553"/>
    </row>
    <row r="453" spans="14:19" ht="27.95" customHeight="1">
      <c r="N453" s="553"/>
      <c r="O453" s="553"/>
      <c r="P453" s="553"/>
      <c r="Q453" s="553"/>
      <c r="R453" s="553"/>
      <c r="S453" s="553"/>
    </row>
    <row r="454" spans="14:19" ht="27.95" customHeight="1">
      <c r="N454" s="553"/>
      <c r="O454" s="553"/>
      <c r="P454" s="553"/>
      <c r="Q454" s="553"/>
      <c r="R454" s="553"/>
      <c r="S454" s="553"/>
    </row>
    <row r="455" spans="14:19" ht="27.95" customHeight="1">
      <c r="N455" s="553"/>
      <c r="O455" s="553"/>
      <c r="P455" s="553"/>
      <c r="Q455" s="553"/>
      <c r="R455" s="553"/>
      <c r="S455" s="553"/>
    </row>
    <row r="456" spans="14:19" ht="27.95" customHeight="1">
      <c r="N456" s="553"/>
      <c r="O456" s="553"/>
      <c r="P456" s="553"/>
      <c r="Q456" s="553"/>
      <c r="R456" s="553"/>
      <c r="S456" s="553"/>
    </row>
    <row r="457" spans="14:19" ht="27.95" customHeight="1">
      <c r="N457" s="553"/>
      <c r="O457" s="553"/>
      <c r="P457" s="553"/>
      <c r="Q457" s="553"/>
      <c r="R457" s="553"/>
      <c r="S457" s="553"/>
    </row>
    <row r="458" spans="14:19" ht="27.95" customHeight="1">
      <c r="N458" s="553"/>
      <c r="O458" s="553"/>
      <c r="P458" s="553"/>
      <c r="Q458" s="553"/>
      <c r="R458" s="553"/>
      <c r="S458" s="553"/>
    </row>
    <row r="459" spans="14:19" ht="27.95" customHeight="1">
      <c r="N459" s="553"/>
      <c r="O459" s="553"/>
      <c r="P459" s="553"/>
      <c r="Q459" s="553"/>
      <c r="R459" s="553"/>
      <c r="S459" s="553"/>
    </row>
    <row r="460" spans="14:19" ht="27.95" customHeight="1">
      <c r="N460" s="553"/>
      <c r="O460" s="553"/>
      <c r="P460" s="553"/>
      <c r="Q460" s="553"/>
      <c r="R460" s="553"/>
      <c r="S460" s="553"/>
    </row>
    <row r="461" spans="14:19" ht="27.95" customHeight="1">
      <c r="N461" s="553"/>
      <c r="O461" s="553"/>
      <c r="P461" s="553"/>
      <c r="Q461" s="553"/>
      <c r="R461" s="553"/>
      <c r="S461" s="553"/>
    </row>
    <row r="462" spans="14:19" ht="27.95" customHeight="1">
      <c r="N462" s="553"/>
      <c r="O462" s="553"/>
      <c r="P462" s="553"/>
      <c r="Q462" s="553"/>
      <c r="R462" s="553"/>
      <c r="S462" s="553"/>
    </row>
    <row r="463" spans="14:19" ht="27.95" customHeight="1">
      <c r="N463" s="553"/>
      <c r="O463" s="553"/>
      <c r="P463" s="553"/>
      <c r="Q463" s="553"/>
      <c r="R463" s="553"/>
      <c r="S463" s="553"/>
    </row>
    <row r="464" spans="14:19" ht="27.95" customHeight="1">
      <c r="N464" s="553"/>
      <c r="O464" s="553"/>
      <c r="P464" s="553"/>
      <c r="Q464" s="553"/>
      <c r="R464" s="553"/>
      <c r="S464" s="553"/>
    </row>
    <row r="465" spans="14:19" ht="27.95" customHeight="1">
      <c r="N465" s="553"/>
      <c r="O465" s="553"/>
      <c r="P465" s="553"/>
      <c r="Q465" s="553"/>
      <c r="R465" s="553"/>
      <c r="S465" s="553"/>
    </row>
    <row r="466" spans="14:19" ht="27.95" customHeight="1">
      <c r="N466" s="553"/>
      <c r="O466" s="553"/>
      <c r="P466" s="553"/>
      <c r="Q466" s="553"/>
      <c r="R466" s="553"/>
      <c r="S466" s="553"/>
    </row>
    <row r="467" spans="14:19" ht="27.95" customHeight="1">
      <c r="N467" s="553"/>
      <c r="O467" s="553"/>
      <c r="P467" s="553"/>
      <c r="Q467" s="553"/>
      <c r="R467" s="553"/>
      <c r="S467" s="553"/>
    </row>
    <row r="468" spans="14:19" ht="27.95" customHeight="1">
      <c r="N468" s="553"/>
      <c r="O468" s="553"/>
      <c r="P468" s="553"/>
      <c r="Q468" s="553"/>
      <c r="R468" s="553"/>
      <c r="S468" s="553"/>
    </row>
    <row r="469" spans="14:19" ht="27.95" customHeight="1">
      <c r="N469" s="553"/>
      <c r="O469" s="553"/>
      <c r="P469" s="553"/>
      <c r="Q469" s="553"/>
      <c r="R469" s="553"/>
      <c r="S469" s="553"/>
    </row>
    <row r="470" spans="14:19" ht="27.95" customHeight="1">
      <c r="N470" s="553"/>
      <c r="O470" s="553"/>
      <c r="P470" s="553"/>
      <c r="Q470" s="553"/>
      <c r="R470" s="553"/>
      <c r="S470" s="553"/>
    </row>
    <row r="471" spans="14:19" ht="27.95" customHeight="1">
      <c r="N471" s="553"/>
      <c r="O471" s="553"/>
      <c r="P471" s="553"/>
      <c r="Q471" s="553"/>
      <c r="R471" s="553"/>
      <c r="S471" s="553"/>
    </row>
    <row r="472" spans="14:19" ht="27.95" customHeight="1">
      <c r="N472" s="553"/>
      <c r="O472" s="553"/>
      <c r="P472" s="553"/>
      <c r="Q472" s="553"/>
      <c r="R472" s="553"/>
      <c r="S472" s="553"/>
    </row>
    <row r="473" spans="14:19" ht="27.95" customHeight="1">
      <c r="N473" s="553"/>
      <c r="O473" s="553"/>
      <c r="P473" s="553"/>
      <c r="Q473" s="553"/>
      <c r="R473" s="553"/>
      <c r="S473" s="553"/>
    </row>
    <row r="474" spans="14:19" ht="27.95" customHeight="1">
      <c r="N474" s="553"/>
      <c r="O474" s="553"/>
      <c r="P474" s="553"/>
      <c r="Q474" s="553"/>
      <c r="R474" s="553"/>
      <c r="S474" s="553"/>
    </row>
    <row r="475" spans="14:19" ht="27.95" customHeight="1">
      <c r="N475" s="553"/>
      <c r="O475" s="553"/>
      <c r="P475" s="553"/>
      <c r="Q475" s="553"/>
      <c r="R475" s="553"/>
      <c r="S475" s="553"/>
    </row>
    <row r="476" spans="14:19" ht="27.95" customHeight="1">
      <c r="N476" s="553"/>
      <c r="O476" s="553"/>
      <c r="P476" s="553"/>
      <c r="Q476" s="553"/>
      <c r="R476" s="553"/>
      <c r="S476" s="553"/>
    </row>
    <row r="477" spans="14:19" ht="27.95" customHeight="1">
      <c r="N477" s="553"/>
      <c r="O477" s="553"/>
      <c r="P477" s="553"/>
      <c r="Q477" s="553"/>
      <c r="R477" s="553"/>
      <c r="S477" s="553"/>
    </row>
    <row r="478" spans="14:19" ht="27.95" customHeight="1">
      <c r="N478" s="553"/>
      <c r="O478" s="553"/>
      <c r="P478" s="553"/>
      <c r="Q478" s="553"/>
      <c r="R478" s="553"/>
      <c r="S478" s="553"/>
    </row>
    <row r="479" spans="14:19" ht="27.95" customHeight="1">
      <c r="N479" s="553"/>
      <c r="O479" s="553"/>
      <c r="P479" s="553"/>
      <c r="Q479" s="553"/>
      <c r="R479" s="553"/>
      <c r="S479" s="553"/>
    </row>
    <row r="480" spans="14:19" ht="27.95" customHeight="1">
      <c r="N480" s="553"/>
      <c r="O480" s="553"/>
      <c r="P480" s="553"/>
      <c r="Q480" s="553"/>
      <c r="R480" s="553"/>
      <c r="S480" s="553"/>
    </row>
    <row r="481" spans="14:19" ht="27.95" customHeight="1">
      <c r="N481" s="553"/>
      <c r="O481" s="553"/>
      <c r="P481" s="553"/>
      <c r="Q481" s="553"/>
      <c r="R481" s="553"/>
      <c r="S481" s="553"/>
    </row>
    <row r="482" spans="14:19" ht="27.95" customHeight="1">
      <c r="N482" s="553"/>
      <c r="O482" s="553"/>
      <c r="P482" s="553"/>
      <c r="Q482" s="553"/>
      <c r="R482" s="553"/>
      <c r="S482" s="553"/>
    </row>
    <row r="483" spans="14:19" ht="27.95" customHeight="1">
      <c r="N483" s="553"/>
      <c r="O483" s="553"/>
      <c r="P483" s="553"/>
      <c r="Q483" s="553"/>
      <c r="R483" s="553"/>
      <c r="S483" s="553"/>
    </row>
    <row r="484" spans="14:19" ht="27.95" customHeight="1">
      <c r="N484" s="553"/>
      <c r="O484" s="553"/>
      <c r="P484" s="553"/>
      <c r="Q484" s="553"/>
      <c r="R484" s="553"/>
      <c r="S484" s="553"/>
    </row>
    <row r="485" spans="14:19" ht="27.95" customHeight="1">
      <c r="N485" s="553"/>
      <c r="O485" s="553"/>
      <c r="P485" s="553"/>
      <c r="Q485" s="553"/>
      <c r="R485" s="553"/>
      <c r="S485" s="553"/>
    </row>
    <row r="486" spans="14:19" ht="27.95" customHeight="1">
      <c r="N486" s="553"/>
      <c r="O486" s="553"/>
      <c r="P486" s="553"/>
      <c r="Q486" s="553"/>
      <c r="R486" s="553"/>
      <c r="S486" s="553"/>
    </row>
    <row r="487" spans="14:19" ht="27.95" customHeight="1">
      <c r="N487" s="553"/>
      <c r="O487" s="553"/>
      <c r="P487" s="553"/>
      <c r="Q487" s="553"/>
      <c r="R487" s="553"/>
      <c r="S487" s="553"/>
    </row>
    <row r="488" spans="14:19" ht="27.95" customHeight="1">
      <c r="N488" s="553"/>
      <c r="O488" s="553"/>
      <c r="P488" s="553"/>
      <c r="Q488" s="553"/>
      <c r="R488" s="553"/>
      <c r="S488" s="553"/>
    </row>
    <row r="489" spans="14:19" ht="27.95" customHeight="1">
      <c r="N489" s="553"/>
      <c r="O489" s="553"/>
      <c r="P489" s="553"/>
      <c r="Q489" s="553"/>
      <c r="R489" s="553"/>
      <c r="S489" s="553"/>
    </row>
    <row r="490" spans="14:19" ht="27.95" customHeight="1">
      <c r="N490" s="553"/>
      <c r="O490" s="553"/>
      <c r="P490" s="553"/>
      <c r="Q490" s="553"/>
      <c r="R490" s="553"/>
      <c r="S490" s="553"/>
    </row>
    <row r="491" spans="14:19" ht="27.95" customHeight="1">
      <c r="N491" s="553"/>
      <c r="O491" s="553"/>
      <c r="P491" s="553"/>
      <c r="Q491" s="553"/>
      <c r="R491" s="553"/>
      <c r="S491" s="553"/>
    </row>
    <row r="492" spans="14:19" ht="27.95" customHeight="1">
      <c r="N492" s="553"/>
      <c r="O492" s="553"/>
      <c r="P492" s="553"/>
      <c r="Q492" s="553"/>
      <c r="R492" s="553"/>
      <c r="S492" s="553"/>
    </row>
    <row r="493" spans="14:19" ht="27.95" customHeight="1">
      <c r="N493" s="553"/>
      <c r="O493" s="553"/>
      <c r="P493" s="553"/>
      <c r="Q493" s="553"/>
      <c r="R493" s="553"/>
      <c r="S493" s="553"/>
    </row>
    <row r="494" spans="14:19" ht="27.95" customHeight="1">
      <c r="N494" s="553"/>
      <c r="O494" s="553"/>
      <c r="P494" s="553"/>
      <c r="Q494" s="553"/>
      <c r="R494" s="553"/>
      <c r="S494" s="553"/>
    </row>
    <row r="495" spans="14:19" ht="27.95" customHeight="1">
      <c r="N495" s="553"/>
      <c r="O495" s="553"/>
      <c r="P495" s="553"/>
      <c r="Q495" s="553"/>
      <c r="R495" s="553"/>
      <c r="S495" s="553"/>
    </row>
    <row r="496" spans="14:19" ht="27.95" customHeight="1">
      <c r="N496" s="553"/>
      <c r="O496" s="553"/>
      <c r="P496" s="553"/>
      <c r="Q496" s="553"/>
      <c r="R496" s="553"/>
      <c r="S496" s="553"/>
    </row>
    <row r="497" spans="14:19" ht="27.95" customHeight="1">
      <c r="N497" s="553"/>
      <c r="O497" s="553"/>
      <c r="P497" s="553"/>
      <c r="Q497" s="553"/>
      <c r="R497" s="553"/>
      <c r="S497" s="553"/>
    </row>
    <row r="498" spans="14:19" ht="27.95" customHeight="1">
      <c r="N498" s="553"/>
      <c r="O498" s="553"/>
      <c r="P498" s="553"/>
      <c r="Q498" s="553"/>
      <c r="R498" s="553"/>
      <c r="S498" s="553"/>
    </row>
    <row r="499" spans="14:19" ht="27.95" customHeight="1">
      <c r="N499" s="553"/>
      <c r="O499" s="553"/>
      <c r="P499" s="553"/>
      <c r="Q499" s="553"/>
      <c r="R499" s="553"/>
      <c r="S499" s="553"/>
    </row>
    <row r="500" spans="14:19" ht="27.95" customHeight="1">
      <c r="N500" s="553"/>
      <c r="O500" s="553"/>
      <c r="P500" s="553"/>
      <c r="Q500" s="553"/>
      <c r="R500" s="553"/>
      <c r="S500" s="553"/>
    </row>
    <row r="501" spans="14:19" ht="27.95" customHeight="1">
      <c r="N501" s="553"/>
      <c r="O501" s="553"/>
      <c r="P501" s="553"/>
      <c r="Q501" s="553"/>
      <c r="R501" s="553"/>
      <c r="S501" s="553"/>
    </row>
    <row r="502" spans="14:19" ht="27.95" customHeight="1">
      <c r="N502" s="553"/>
      <c r="O502" s="553"/>
      <c r="P502" s="553"/>
      <c r="Q502" s="553"/>
      <c r="R502" s="553"/>
      <c r="S502" s="553"/>
    </row>
    <row r="503" spans="14:19" ht="27.95" customHeight="1">
      <c r="N503" s="553"/>
      <c r="O503" s="553"/>
      <c r="P503" s="553"/>
      <c r="Q503" s="553"/>
      <c r="R503" s="553"/>
      <c r="S503" s="553"/>
    </row>
    <row r="504" spans="14:19" ht="27.95" customHeight="1">
      <c r="N504" s="553"/>
      <c r="O504" s="553"/>
      <c r="P504" s="553"/>
      <c r="Q504" s="553"/>
      <c r="R504" s="553"/>
      <c r="S504" s="553"/>
    </row>
    <row r="505" spans="14:19" ht="27.95" customHeight="1">
      <c r="N505" s="553"/>
      <c r="O505" s="553"/>
      <c r="P505" s="553"/>
      <c r="Q505" s="553"/>
      <c r="R505" s="553"/>
      <c r="S505" s="553"/>
    </row>
    <row r="506" spans="14:19" ht="27.95" customHeight="1">
      <c r="N506" s="553"/>
      <c r="O506" s="553"/>
      <c r="P506" s="553"/>
      <c r="Q506" s="553"/>
      <c r="R506" s="553"/>
      <c r="S506" s="553"/>
    </row>
    <row r="507" spans="14:19" ht="27.95" customHeight="1">
      <c r="N507" s="553"/>
      <c r="O507" s="553"/>
      <c r="P507" s="553"/>
      <c r="Q507" s="553"/>
      <c r="R507" s="553"/>
      <c r="S507" s="553"/>
    </row>
    <row r="508" spans="14:19" ht="27.95" customHeight="1">
      <c r="N508" s="553"/>
      <c r="O508" s="553"/>
      <c r="P508" s="553"/>
      <c r="Q508" s="553"/>
      <c r="R508" s="553"/>
      <c r="S508" s="553"/>
    </row>
    <row r="509" spans="14:19" ht="27.95" customHeight="1">
      <c r="N509" s="553"/>
      <c r="O509" s="553"/>
      <c r="P509" s="553"/>
      <c r="Q509" s="553"/>
      <c r="R509" s="553"/>
      <c r="S509" s="553"/>
    </row>
    <row r="510" spans="14:19" ht="27.95" customHeight="1">
      <c r="N510" s="553"/>
      <c r="O510" s="553"/>
      <c r="P510" s="553"/>
      <c r="Q510" s="553"/>
      <c r="R510" s="553"/>
      <c r="S510" s="553"/>
    </row>
    <row r="511" spans="14:19" ht="27.95" customHeight="1">
      <c r="N511" s="553"/>
      <c r="O511" s="553"/>
      <c r="P511" s="553"/>
      <c r="Q511" s="553"/>
      <c r="R511" s="553"/>
      <c r="S511" s="553"/>
    </row>
    <row r="512" spans="14:19" ht="27.95" customHeight="1">
      <c r="N512" s="553"/>
      <c r="O512" s="553"/>
      <c r="P512" s="553"/>
      <c r="Q512" s="553"/>
      <c r="R512" s="553"/>
      <c r="S512" s="553"/>
    </row>
    <row r="513" spans="14:19" ht="27.95" customHeight="1">
      <c r="N513" s="553"/>
      <c r="O513" s="553"/>
      <c r="P513" s="553"/>
      <c r="Q513" s="553"/>
      <c r="R513" s="553"/>
      <c r="S513" s="553"/>
    </row>
    <row r="514" spans="14:19" ht="27.95" customHeight="1">
      <c r="N514" s="553"/>
      <c r="O514" s="553"/>
      <c r="P514" s="553"/>
      <c r="Q514" s="553"/>
      <c r="R514" s="553"/>
      <c r="S514" s="553"/>
    </row>
    <row r="515" spans="14:19" ht="27.95" customHeight="1">
      <c r="N515" s="553"/>
      <c r="O515" s="553"/>
      <c r="P515" s="553"/>
      <c r="Q515" s="553"/>
      <c r="R515" s="553"/>
      <c r="S515" s="553"/>
    </row>
    <row r="516" spans="14:19" ht="27.95" customHeight="1">
      <c r="N516" s="553"/>
      <c r="O516" s="553"/>
      <c r="P516" s="553"/>
      <c r="Q516" s="553"/>
      <c r="R516" s="553"/>
      <c r="S516" s="553"/>
    </row>
    <row r="517" spans="14:19" ht="27.95" customHeight="1">
      <c r="N517" s="553"/>
      <c r="O517" s="553"/>
      <c r="P517" s="553"/>
      <c r="Q517" s="553"/>
      <c r="R517" s="553"/>
      <c r="S517" s="553"/>
    </row>
    <row r="518" spans="14:19" ht="27.95" customHeight="1">
      <c r="N518" s="553"/>
      <c r="O518" s="553"/>
      <c r="P518" s="553"/>
      <c r="Q518" s="553"/>
      <c r="R518" s="553"/>
      <c r="S518" s="553"/>
    </row>
    <row r="519" spans="14:19" ht="27.95" customHeight="1">
      <c r="N519" s="553"/>
      <c r="O519" s="553"/>
      <c r="P519" s="553"/>
      <c r="Q519" s="553"/>
      <c r="R519" s="553"/>
      <c r="S519" s="553"/>
    </row>
    <row r="520" spans="14:19" ht="27.95" customHeight="1">
      <c r="N520" s="553"/>
      <c r="O520" s="553"/>
      <c r="P520" s="553"/>
      <c r="Q520" s="553"/>
      <c r="R520" s="553"/>
      <c r="S520" s="553"/>
    </row>
    <row r="521" spans="14:19" ht="27.95" customHeight="1">
      <c r="N521" s="553"/>
      <c r="O521" s="553"/>
      <c r="P521" s="553"/>
      <c r="Q521" s="553"/>
      <c r="R521" s="553"/>
      <c r="S521" s="553"/>
    </row>
    <row r="522" spans="14:19" ht="27.95" customHeight="1">
      <c r="N522" s="553"/>
      <c r="O522" s="553"/>
      <c r="P522" s="553"/>
      <c r="Q522" s="553"/>
      <c r="R522" s="553"/>
      <c r="S522" s="553"/>
    </row>
    <row r="523" spans="14:19" ht="27.95" customHeight="1">
      <c r="N523" s="553"/>
      <c r="O523" s="553"/>
      <c r="P523" s="553"/>
      <c r="Q523" s="553"/>
      <c r="R523" s="553"/>
      <c r="S523" s="553"/>
    </row>
    <row r="524" spans="14:19" ht="27.95" customHeight="1">
      <c r="N524" s="553"/>
      <c r="O524" s="553"/>
      <c r="P524" s="553"/>
      <c r="Q524" s="553"/>
      <c r="R524" s="553"/>
      <c r="S524" s="553"/>
    </row>
    <row r="525" spans="14:19" ht="27.95" customHeight="1">
      <c r="N525" s="553"/>
      <c r="O525" s="553"/>
      <c r="P525" s="553"/>
      <c r="Q525" s="553"/>
      <c r="R525" s="553"/>
      <c r="S525" s="553"/>
    </row>
    <row r="526" spans="14:19" ht="27.95" customHeight="1">
      <c r="N526" s="553"/>
      <c r="O526" s="553"/>
      <c r="P526" s="553"/>
      <c r="Q526" s="553"/>
      <c r="R526" s="553"/>
      <c r="S526" s="553"/>
    </row>
    <row r="527" spans="14:19" ht="27.95" customHeight="1">
      <c r="N527" s="553"/>
      <c r="O527" s="553"/>
      <c r="P527" s="553"/>
      <c r="Q527" s="553"/>
      <c r="R527" s="553"/>
      <c r="S527" s="553"/>
    </row>
    <row r="528" spans="14:19" ht="27.95" customHeight="1">
      <c r="N528" s="553"/>
      <c r="O528" s="553"/>
      <c r="P528" s="553"/>
      <c r="Q528" s="553"/>
      <c r="R528" s="553"/>
      <c r="S528" s="553"/>
    </row>
    <row r="529" spans="14:19" ht="27.95" customHeight="1">
      <c r="N529" s="553"/>
      <c r="O529" s="553"/>
      <c r="P529" s="553"/>
      <c r="Q529" s="553"/>
      <c r="R529" s="553"/>
      <c r="S529" s="553"/>
    </row>
    <row r="530" spans="14:19" ht="27.95" customHeight="1">
      <c r="N530" s="553"/>
      <c r="O530" s="553"/>
      <c r="P530" s="553"/>
      <c r="Q530" s="553"/>
      <c r="R530" s="553"/>
      <c r="S530" s="553"/>
    </row>
    <row r="531" spans="14:19" ht="27.95" customHeight="1">
      <c r="N531" s="553"/>
      <c r="O531" s="553"/>
      <c r="P531" s="553"/>
      <c r="Q531" s="553"/>
      <c r="R531" s="553"/>
      <c r="S531" s="553"/>
    </row>
    <row r="532" spans="14:19" ht="27.95" customHeight="1">
      <c r="N532" s="553"/>
      <c r="O532" s="553"/>
      <c r="P532" s="553"/>
      <c r="Q532" s="553"/>
      <c r="R532" s="553"/>
      <c r="S532" s="553"/>
    </row>
    <row r="533" spans="14:19" ht="27.95" customHeight="1">
      <c r="N533" s="553"/>
      <c r="O533" s="553"/>
      <c r="P533" s="553"/>
      <c r="Q533" s="553"/>
      <c r="R533" s="553"/>
      <c r="S533" s="553"/>
    </row>
    <row r="534" spans="14:19" ht="27.95" customHeight="1">
      <c r="N534" s="553"/>
      <c r="O534" s="553"/>
      <c r="P534" s="553"/>
      <c r="Q534" s="553"/>
      <c r="R534" s="553"/>
      <c r="S534" s="553"/>
    </row>
    <row r="535" spans="14:19" ht="27.95" customHeight="1">
      <c r="N535" s="553"/>
      <c r="O535" s="553"/>
      <c r="P535" s="553"/>
      <c r="Q535" s="553"/>
      <c r="R535" s="553"/>
      <c r="S535" s="553"/>
    </row>
    <row r="536" spans="14:19" ht="27.95" customHeight="1">
      <c r="N536" s="553"/>
      <c r="O536" s="553"/>
      <c r="P536" s="553"/>
      <c r="Q536" s="553"/>
      <c r="R536" s="553"/>
      <c r="S536" s="553"/>
    </row>
    <row r="537" spans="14:19" ht="27.95" customHeight="1">
      <c r="N537" s="553"/>
      <c r="O537" s="553"/>
      <c r="P537" s="553"/>
      <c r="Q537" s="553"/>
      <c r="R537" s="553"/>
      <c r="S537" s="553"/>
    </row>
    <row r="538" spans="14:19" ht="27.95" customHeight="1">
      <c r="N538" s="553"/>
      <c r="O538" s="553"/>
      <c r="P538" s="553"/>
      <c r="Q538" s="553"/>
      <c r="R538" s="553"/>
      <c r="S538" s="553"/>
    </row>
    <row r="539" spans="14:19" ht="27.95" customHeight="1">
      <c r="N539" s="553"/>
      <c r="O539" s="553"/>
      <c r="P539" s="553"/>
      <c r="Q539" s="553"/>
      <c r="R539" s="553"/>
      <c r="S539" s="553"/>
    </row>
    <row r="540" spans="14:19" ht="27.95" customHeight="1">
      <c r="N540" s="553"/>
      <c r="O540" s="553"/>
      <c r="P540" s="553"/>
      <c r="Q540" s="553"/>
      <c r="R540" s="553"/>
      <c r="S540" s="553"/>
    </row>
    <row r="541" spans="14:19" ht="27.95" customHeight="1">
      <c r="N541" s="553"/>
      <c r="O541" s="553"/>
      <c r="P541" s="553"/>
      <c r="Q541" s="553"/>
      <c r="R541" s="553"/>
      <c r="S541" s="553"/>
    </row>
    <row r="542" spans="14:19" ht="27.95" customHeight="1">
      <c r="N542" s="553"/>
      <c r="O542" s="553"/>
      <c r="P542" s="553"/>
      <c r="Q542" s="553"/>
      <c r="R542" s="553"/>
      <c r="S542" s="553"/>
    </row>
    <row r="543" spans="14:19" ht="27.95" customHeight="1">
      <c r="N543" s="553"/>
      <c r="O543" s="553"/>
      <c r="P543" s="553"/>
      <c r="Q543" s="553"/>
      <c r="R543" s="553"/>
      <c r="S543" s="553"/>
    </row>
    <row r="544" spans="14:19" ht="27.95" customHeight="1">
      <c r="N544" s="553"/>
      <c r="O544" s="553"/>
      <c r="P544" s="553"/>
      <c r="Q544" s="553"/>
      <c r="R544" s="553"/>
      <c r="S544" s="553"/>
    </row>
    <row r="545" spans="14:19" ht="27.95" customHeight="1">
      <c r="N545" s="553"/>
      <c r="O545" s="553"/>
      <c r="P545" s="553"/>
      <c r="Q545" s="553"/>
      <c r="R545" s="553"/>
      <c r="S545" s="553"/>
    </row>
    <row r="546" spans="14:19" ht="27.95" customHeight="1">
      <c r="N546" s="553"/>
      <c r="O546" s="553"/>
      <c r="P546" s="553"/>
      <c r="Q546" s="553"/>
      <c r="R546" s="553"/>
      <c r="S546" s="553"/>
    </row>
    <row r="547" spans="14:19" ht="27.95" customHeight="1">
      <c r="N547" s="553"/>
      <c r="O547" s="553"/>
      <c r="P547" s="553"/>
      <c r="Q547" s="553"/>
      <c r="R547" s="553"/>
      <c r="S547" s="553"/>
    </row>
    <row r="548" spans="14:19" ht="27.95" customHeight="1">
      <c r="N548" s="553"/>
      <c r="O548" s="553"/>
      <c r="P548" s="553"/>
      <c r="Q548" s="553"/>
      <c r="R548" s="553"/>
      <c r="S548" s="553"/>
    </row>
    <row r="549" spans="14:19" ht="27.95" customHeight="1">
      <c r="N549" s="553"/>
      <c r="O549" s="553"/>
      <c r="P549" s="553"/>
      <c r="Q549" s="553"/>
      <c r="R549" s="553"/>
      <c r="S549" s="553"/>
    </row>
    <row r="550" spans="14:19" ht="27.95" customHeight="1">
      <c r="N550" s="553"/>
      <c r="O550" s="553"/>
      <c r="P550" s="553"/>
      <c r="Q550" s="553"/>
      <c r="R550" s="553"/>
      <c r="S550" s="553"/>
    </row>
    <row r="551" spans="14:19" ht="27.95" customHeight="1">
      <c r="N551" s="553"/>
      <c r="O551" s="553"/>
      <c r="P551" s="553"/>
      <c r="Q551" s="553"/>
      <c r="R551" s="553"/>
      <c r="S551" s="553"/>
    </row>
    <row r="552" spans="14:19" ht="27.95" customHeight="1">
      <c r="N552" s="553"/>
      <c r="O552" s="553"/>
      <c r="P552" s="553"/>
      <c r="Q552" s="553"/>
      <c r="R552" s="553"/>
      <c r="S552" s="553"/>
    </row>
    <row r="553" spans="14:19" ht="27.95" customHeight="1">
      <c r="N553" s="553"/>
      <c r="O553" s="553"/>
      <c r="P553" s="553"/>
      <c r="Q553" s="553"/>
      <c r="R553" s="553"/>
      <c r="S553" s="553"/>
    </row>
    <row r="554" spans="14:19" ht="27.95" customHeight="1">
      <c r="N554" s="553"/>
      <c r="O554" s="553"/>
      <c r="P554" s="553"/>
      <c r="Q554" s="553"/>
      <c r="R554" s="553"/>
      <c r="S554" s="553"/>
    </row>
    <row r="555" spans="14:19" ht="27.95" customHeight="1">
      <c r="N555" s="553"/>
      <c r="O555" s="553"/>
      <c r="P555" s="553"/>
      <c r="Q555" s="553"/>
      <c r="R555" s="553"/>
      <c r="S555" s="553"/>
    </row>
    <row r="556" spans="14:19" ht="27.95" customHeight="1">
      <c r="N556" s="553"/>
      <c r="O556" s="553"/>
      <c r="P556" s="553"/>
      <c r="Q556" s="553"/>
      <c r="R556" s="553"/>
      <c r="S556" s="553"/>
    </row>
    <row r="557" spans="14:19" ht="27.95" customHeight="1">
      <c r="N557" s="553"/>
      <c r="O557" s="553"/>
      <c r="P557" s="553"/>
      <c r="Q557" s="553"/>
      <c r="R557" s="553"/>
      <c r="S557" s="553"/>
    </row>
    <row r="558" spans="14:19" ht="27.95" customHeight="1">
      <c r="N558" s="553"/>
      <c r="O558" s="553"/>
      <c r="P558" s="553"/>
      <c r="Q558" s="553"/>
      <c r="R558" s="553"/>
      <c r="S558" s="553"/>
    </row>
    <row r="559" spans="14:19" ht="27.95" customHeight="1">
      <c r="N559" s="553"/>
      <c r="O559" s="553"/>
      <c r="P559" s="553"/>
      <c r="Q559" s="553"/>
      <c r="R559" s="553"/>
      <c r="S559" s="553"/>
    </row>
    <row r="560" spans="14:19" ht="27.95" customHeight="1">
      <c r="N560" s="553"/>
      <c r="O560" s="553"/>
      <c r="P560" s="553"/>
      <c r="Q560" s="553"/>
      <c r="R560" s="553"/>
      <c r="S560" s="553"/>
    </row>
    <row r="561" spans="14:19" ht="27.95" customHeight="1">
      <c r="N561" s="553"/>
      <c r="O561" s="553"/>
      <c r="P561" s="553"/>
      <c r="Q561" s="553"/>
      <c r="R561" s="553"/>
      <c r="S561" s="553"/>
    </row>
    <row r="562" spans="14:19" ht="27.95" customHeight="1">
      <c r="N562" s="553"/>
      <c r="O562" s="553"/>
      <c r="P562" s="553"/>
      <c r="Q562" s="553"/>
      <c r="R562" s="553"/>
      <c r="S562" s="553"/>
    </row>
    <row r="563" spans="14:19" ht="27.95" customHeight="1">
      <c r="N563" s="553"/>
      <c r="O563" s="553"/>
      <c r="P563" s="553"/>
      <c r="Q563" s="553"/>
      <c r="R563" s="553"/>
      <c r="S563" s="553"/>
    </row>
    <row r="564" spans="14:19" ht="27.95" customHeight="1">
      <c r="N564" s="553"/>
      <c r="O564" s="553"/>
      <c r="P564" s="553"/>
      <c r="Q564" s="553"/>
      <c r="R564" s="553"/>
      <c r="S564" s="553"/>
    </row>
    <row r="565" spans="14:19" ht="27.95" customHeight="1">
      <c r="N565" s="553"/>
      <c r="O565" s="553"/>
      <c r="P565" s="553"/>
      <c r="Q565" s="553"/>
      <c r="R565" s="553"/>
      <c r="S565" s="553"/>
    </row>
    <row r="566" spans="14:19" ht="27.95" customHeight="1">
      <c r="N566" s="553"/>
      <c r="O566" s="553"/>
      <c r="P566" s="553"/>
      <c r="Q566" s="553"/>
      <c r="R566" s="553"/>
      <c r="S566" s="553"/>
    </row>
    <row r="567" spans="14:19" ht="27.95" customHeight="1">
      <c r="N567" s="553"/>
      <c r="O567" s="553"/>
      <c r="P567" s="553"/>
      <c r="Q567" s="553"/>
      <c r="R567" s="553"/>
      <c r="S567" s="553"/>
    </row>
    <row r="568" spans="14:19" ht="27.95" customHeight="1">
      <c r="N568" s="553"/>
      <c r="O568" s="553"/>
      <c r="P568" s="553"/>
      <c r="Q568" s="553"/>
      <c r="R568" s="553"/>
      <c r="S568" s="553"/>
    </row>
    <row r="569" spans="14:19" ht="27.95" customHeight="1">
      <c r="N569" s="553"/>
      <c r="O569" s="553"/>
      <c r="P569" s="553"/>
      <c r="Q569" s="553"/>
      <c r="R569" s="553"/>
      <c r="S569" s="553"/>
    </row>
    <row r="570" spans="14:19" ht="27.95" customHeight="1">
      <c r="N570" s="553"/>
      <c r="O570" s="553"/>
      <c r="P570" s="553"/>
      <c r="Q570" s="553"/>
      <c r="R570" s="553"/>
      <c r="S570" s="553"/>
    </row>
    <row r="571" spans="14:19" ht="27.95" customHeight="1">
      <c r="N571" s="553"/>
      <c r="O571" s="553"/>
      <c r="P571" s="553"/>
      <c r="Q571" s="553"/>
      <c r="R571" s="553"/>
      <c r="S571" s="553"/>
    </row>
    <row r="572" spans="14:19" ht="27.95" customHeight="1">
      <c r="N572" s="553"/>
      <c r="O572" s="553"/>
      <c r="P572" s="553"/>
      <c r="Q572" s="553"/>
      <c r="R572" s="553"/>
      <c r="S572" s="553"/>
    </row>
    <row r="573" spans="14:19" ht="27.95" customHeight="1">
      <c r="N573" s="553"/>
      <c r="O573" s="553"/>
      <c r="P573" s="553"/>
      <c r="Q573" s="553"/>
      <c r="R573" s="553"/>
      <c r="S573" s="553"/>
    </row>
    <row r="574" spans="14:19" ht="27.95" customHeight="1">
      <c r="N574" s="553"/>
      <c r="O574" s="553"/>
      <c r="P574" s="553"/>
      <c r="Q574" s="553"/>
      <c r="R574" s="553"/>
      <c r="S574" s="553"/>
    </row>
    <row r="575" spans="14:19" ht="27.95" customHeight="1">
      <c r="N575" s="553"/>
      <c r="O575" s="553"/>
      <c r="P575" s="553"/>
      <c r="Q575" s="553"/>
      <c r="R575" s="553"/>
      <c r="S575" s="553"/>
    </row>
    <row r="576" spans="14:19" ht="27.95" customHeight="1">
      <c r="N576" s="553"/>
      <c r="O576" s="553"/>
      <c r="P576" s="553"/>
      <c r="Q576" s="553"/>
      <c r="R576" s="553"/>
      <c r="S576" s="553"/>
    </row>
    <row r="577" spans="14:19" ht="27.95" customHeight="1">
      <c r="N577" s="553"/>
      <c r="O577" s="553"/>
      <c r="P577" s="553"/>
      <c r="Q577" s="553"/>
      <c r="R577" s="553"/>
      <c r="S577" s="553"/>
    </row>
    <row r="578" spans="14:19" ht="27.95" customHeight="1">
      <c r="N578" s="553"/>
      <c r="O578" s="553"/>
      <c r="P578" s="553"/>
      <c r="Q578" s="553"/>
      <c r="R578" s="553"/>
      <c r="S578" s="553"/>
    </row>
    <row r="579" spans="14:19" ht="27.95" customHeight="1">
      <c r="N579" s="553"/>
      <c r="O579" s="553"/>
      <c r="P579" s="553"/>
      <c r="Q579" s="553"/>
      <c r="R579" s="553"/>
      <c r="S579" s="553"/>
    </row>
    <row r="580" spans="14:19" ht="27.95" customHeight="1">
      <c r="N580" s="553"/>
      <c r="O580" s="553"/>
      <c r="P580" s="553"/>
      <c r="Q580" s="553"/>
      <c r="R580" s="553"/>
      <c r="S580" s="553"/>
    </row>
    <row r="581" spans="14:19" ht="27.95" customHeight="1">
      <c r="N581" s="553"/>
      <c r="O581" s="553"/>
      <c r="P581" s="553"/>
      <c r="Q581" s="553"/>
      <c r="R581" s="553"/>
      <c r="S581" s="553"/>
    </row>
    <row r="582" spans="14:19" ht="27.95" customHeight="1">
      <c r="N582" s="553"/>
      <c r="O582" s="553"/>
      <c r="P582" s="553"/>
      <c r="Q582" s="553"/>
      <c r="R582" s="553"/>
      <c r="S582" s="553"/>
    </row>
    <row r="583" spans="14:19" ht="27.95" customHeight="1">
      <c r="N583" s="553"/>
      <c r="O583" s="553"/>
      <c r="P583" s="553"/>
      <c r="Q583" s="553"/>
      <c r="R583" s="553"/>
      <c r="S583" s="553"/>
    </row>
    <row r="584" spans="14:19" ht="27.95" customHeight="1">
      <c r="N584" s="553"/>
      <c r="O584" s="553"/>
      <c r="P584" s="553"/>
      <c r="Q584" s="553"/>
      <c r="R584" s="553"/>
      <c r="S584" s="553"/>
    </row>
    <row r="585" spans="14:19" ht="27.95" customHeight="1">
      <c r="N585" s="553"/>
      <c r="O585" s="553"/>
      <c r="P585" s="553"/>
      <c r="Q585" s="553"/>
      <c r="R585" s="553"/>
      <c r="S585" s="553"/>
    </row>
    <row r="586" spans="14:19" ht="27.95" customHeight="1">
      <c r="N586" s="553"/>
      <c r="O586" s="553"/>
      <c r="P586" s="553"/>
      <c r="Q586" s="553"/>
      <c r="R586" s="553"/>
      <c r="S586" s="553"/>
    </row>
    <row r="587" spans="14:19" ht="27.95" customHeight="1">
      <c r="N587" s="553"/>
      <c r="O587" s="553"/>
      <c r="P587" s="553"/>
      <c r="Q587" s="553"/>
      <c r="R587" s="553"/>
      <c r="S587" s="553"/>
    </row>
    <row r="588" spans="14:19" ht="27.95" customHeight="1">
      <c r="N588" s="553"/>
      <c r="O588" s="553"/>
      <c r="P588" s="553"/>
      <c r="Q588" s="553"/>
      <c r="R588" s="553"/>
      <c r="S588" s="553"/>
    </row>
    <row r="589" spans="14:19" ht="27.95" customHeight="1">
      <c r="N589" s="553"/>
      <c r="O589" s="553"/>
      <c r="P589" s="553"/>
      <c r="Q589" s="553"/>
      <c r="R589" s="553"/>
      <c r="S589" s="553"/>
    </row>
    <row r="590" spans="14:19" ht="27.95" customHeight="1">
      <c r="N590" s="553"/>
      <c r="O590" s="553"/>
      <c r="P590" s="553"/>
      <c r="Q590" s="553"/>
      <c r="R590" s="553"/>
      <c r="S590" s="553"/>
    </row>
    <row r="591" spans="14:19" ht="27.95" customHeight="1">
      <c r="N591" s="553"/>
      <c r="O591" s="553"/>
      <c r="P591" s="553"/>
      <c r="Q591" s="553"/>
      <c r="R591" s="553"/>
      <c r="S591" s="553"/>
    </row>
    <row r="592" spans="14:19" ht="27.95" customHeight="1">
      <c r="N592" s="553"/>
      <c r="O592" s="553"/>
      <c r="P592" s="553"/>
      <c r="Q592" s="553"/>
      <c r="R592" s="553"/>
      <c r="S592" s="553"/>
    </row>
    <row r="593" spans="14:19" ht="27.95" customHeight="1">
      <c r="N593" s="553"/>
      <c r="O593" s="553"/>
      <c r="P593" s="553"/>
      <c r="Q593" s="553"/>
      <c r="R593" s="553"/>
      <c r="S593" s="553"/>
    </row>
    <row r="594" spans="14:19" ht="27.95" customHeight="1">
      <c r="N594" s="553"/>
      <c r="O594" s="553"/>
      <c r="P594" s="553"/>
      <c r="Q594" s="553"/>
      <c r="R594" s="553"/>
      <c r="S594" s="553"/>
    </row>
    <row r="595" spans="14:19" ht="27.95" customHeight="1">
      <c r="N595" s="553"/>
      <c r="O595" s="553"/>
      <c r="P595" s="553"/>
      <c r="Q595" s="553"/>
      <c r="R595" s="553"/>
      <c r="S595" s="553"/>
    </row>
    <row r="596" spans="14:19" ht="27.95" customHeight="1">
      <c r="N596" s="553"/>
      <c r="O596" s="553"/>
      <c r="P596" s="553"/>
      <c r="Q596" s="553"/>
      <c r="R596" s="553"/>
      <c r="S596" s="553"/>
    </row>
    <row r="597" spans="14:19" ht="27.95" customHeight="1">
      <c r="N597" s="553"/>
      <c r="O597" s="553"/>
      <c r="P597" s="553"/>
      <c r="Q597" s="553"/>
      <c r="R597" s="553"/>
      <c r="S597" s="553"/>
    </row>
    <row r="598" spans="14:19" ht="27.95" customHeight="1">
      <c r="N598" s="553"/>
      <c r="O598" s="553"/>
      <c r="P598" s="553"/>
      <c r="Q598" s="553"/>
      <c r="R598" s="553"/>
      <c r="S598" s="553"/>
    </row>
    <row r="599" spans="14:19" ht="27.95" customHeight="1">
      <c r="N599" s="553"/>
      <c r="O599" s="553"/>
      <c r="P599" s="553"/>
      <c r="Q599" s="553"/>
      <c r="R599" s="553"/>
      <c r="S599" s="553"/>
    </row>
    <row r="600" spans="14:19" ht="27.95" customHeight="1">
      <c r="N600" s="553"/>
      <c r="O600" s="553"/>
      <c r="P600" s="553"/>
      <c r="Q600" s="553"/>
      <c r="R600" s="553"/>
      <c r="S600" s="553"/>
    </row>
    <row r="601" spans="14:19" ht="27.95" customHeight="1">
      <c r="N601" s="553"/>
      <c r="O601" s="553"/>
      <c r="P601" s="553"/>
      <c r="Q601" s="553"/>
      <c r="R601" s="553"/>
      <c r="S601" s="553"/>
    </row>
    <row r="602" spans="14:19" ht="27.95" customHeight="1">
      <c r="N602" s="553"/>
      <c r="O602" s="553"/>
      <c r="P602" s="553"/>
      <c r="Q602" s="553"/>
      <c r="R602" s="553"/>
      <c r="S602" s="553"/>
    </row>
    <row r="603" spans="14:19" ht="27.95" customHeight="1">
      <c r="N603" s="553"/>
      <c r="O603" s="553"/>
      <c r="P603" s="553"/>
      <c r="Q603" s="553"/>
      <c r="R603" s="553"/>
      <c r="S603" s="553"/>
    </row>
    <row r="604" spans="14:19" ht="27.95" customHeight="1">
      <c r="N604" s="553"/>
      <c r="O604" s="553"/>
      <c r="P604" s="553"/>
      <c r="Q604" s="553"/>
      <c r="R604" s="553"/>
      <c r="S604" s="553"/>
    </row>
    <row r="605" spans="14:19" ht="27.95" customHeight="1">
      <c r="N605" s="553"/>
      <c r="O605" s="553"/>
      <c r="P605" s="553"/>
      <c r="Q605" s="553"/>
      <c r="R605" s="553"/>
      <c r="S605" s="553"/>
    </row>
    <row r="606" spans="14:19" ht="27.95" customHeight="1">
      <c r="N606" s="553"/>
      <c r="O606" s="553"/>
      <c r="P606" s="553"/>
      <c r="Q606" s="553"/>
      <c r="R606" s="553"/>
      <c r="S606" s="553"/>
    </row>
    <row r="607" spans="14:19" ht="27.95" customHeight="1">
      <c r="N607" s="553"/>
      <c r="O607" s="553"/>
      <c r="P607" s="553"/>
      <c r="Q607" s="553"/>
      <c r="R607" s="553"/>
      <c r="S607" s="553"/>
    </row>
    <row r="608" spans="14:19" ht="27.95" customHeight="1">
      <c r="N608" s="553"/>
      <c r="O608" s="553"/>
      <c r="P608" s="553"/>
      <c r="Q608" s="553"/>
      <c r="R608" s="553"/>
      <c r="S608" s="553"/>
    </row>
    <row r="609" spans="14:19" ht="27.95" customHeight="1">
      <c r="N609" s="553"/>
      <c r="O609" s="553"/>
      <c r="P609" s="553"/>
      <c r="Q609" s="553"/>
      <c r="R609" s="553"/>
      <c r="S609" s="553"/>
    </row>
    <row r="610" spans="14:19" ht="27.95" customHeight="1">
      <c r="N610" s="553"/>
      <c r="O610" s="553"/>
      <c r="P610" s="553"/>
      <c r="Q610" s="553"/>
      <c r="R610" s="553"/>
      <c r="S610" s="553"/>
    </row>
    <row r="611" spans="14:19" ht="27.95" customHeight="1">
      <c r="N611" s="553"/>
      <c r="O611" s="553"/>
      <c r="P611" s="553"/>
      <c r="Q611" s="553"/>
      <c r="R611" s="553"/>
      <c r="S611" s="553"/>
    </row>
    <row r="612" spans="14:19" ht="27.95" customHeight="1">
      <c r="N612" s="553"/>
      <c r="O612" s="553"/>
      <c r="P612" s="553"/>
      <c r="Q612" s="553"/>
      <c r="R612" s="553"/>
      <c r="S612" s="553"/>
    </row>
    <row r="613" spans="14:19" ht="27.95" customHeight="1">
      <c r="N613" s="553"/>
      <c r="O613" s="553"/>
      <c r="P613" s="553"/>
      <c r="Q613" s="553"/>
      <c r="R613" s="553"/>
      <c r="S613" s="553"/>
    </row>
    <row r="614" spans="14:19" ht="27.95" customHeight="1">
      <c r="N614" s="553"/>
      <c r="O614" s="553"/>
      <c r="P614" s="553"/>
      <c r="Q614" s="553"/>
      <c r="R614" s="553"/>
      <c r="S614" s="553"/>
    </row>
    <row r="615" spans="14:19" ht="27.95" customHeight="1">
      <c r="N615" s="553"/>
      <c r="O615" s="553"/>
      <c r="P615" s="553"/>
      <c r="Q615" s="553"/>
      <c r="R615" s="553"/>
      <c r="S615" s="553"/>
    </row>
    <row r="616" spans="14:19" ht="27.95" customHeight="1">
      <c r="N616" s="553"/>
      <c r="O616" s="553"/>
      <c r="P616" s="553"/>
      <c r="Q616" s="553"/>
      <c r="R616" s="553"/>
      <c r="S616" s="553"/>
    </row>
    <row r="617" spans="14:19" ht="27.95" customHeight="1">
      <c r="N617" s="553"/>
      <c r="O617" s="553"/>
      <c r="P617" s="553"/>
      <c r="Q617" s="553"/>
      <c r="R617" s="553"/>
      <c r="S617" s="553"/>
    </row>
    <row r="618" spans="14:19" ht="27.95" customHeight="1">
      <c r="N618" s="553"/>
      <c r="O618" s="553"/>
      <c r="P618" s="553"/>
      <c r="Q618" s="553"/>
      <c r="R618" s="553"/>
      <c r="S618" s="553"/>
    </row>
    <row r="619" spans="14:19" ht="27.95" customHeight="1">
      <c r="N619" s="553"/>
      <c r="O619" s="553"/>
      <c r="P619" s="553"/>
      <c r="Q619" s="553"/>
      <c r="R619" s="553"/>
      <c r="S619" s="553"/>
    </row>
    <row r="620" spans="14:19" ht="27.95" customHeight="1">
      <c r="N620" s="553"/>
      <c r="O620" s="553"/>
      <c r="P620" s="553"/>
      <c r="Q620" s="553"/>
      <c r="R620" s="553"/>
      <c r="S620" s="553"/>
    </row>
    <row r="621" spans="14:19" ht="27.95" customHeight="1">
      <c r="N621" s="553"/>
      <c r="O621" s="553"/>
      <c r="P621" s="553"/>
      <c r="Q621" s="553"/>
      <c r="R621" s="553"/>
      <c r="S621" s="553"/>
    </row>
    <row r="622" spans="14:19" ht="27.95" customHeight="1">
      <c r="N622" s="553"/>
      <c r="O622" s="553"/>
      <c r="P622" s="553"/>
      <c r="Q622" s="553"/>
      <c r="R622" s="553"/>
      <c r="S622" s="553"/>
    </row>
    <row r="623" spans="14:19" ht="27.95" customHeight="1">
      <c r="N623" s="553"/>
      <c r="O623" s="553"/>
      <c r="P623" s="553"/>
      <c r="Q623" s="553"/>
      <c r="R623" s="553"/>
      <c r="S623" s="553"/>
    </row>
    <row r="624" spans="14:19" ht="27.95" customHeight="1">
      <c r="N624" s="553"/>
      <c r="O624" s="553"/>
      <c r="P624" s="553"/>
      <c r="Q624" s="553"/>
      <c r="R624" s="553"/>
      <c r="S624" s="553"/>
    </row>
    <row r="625" spans="14:19" ht="27.95" customHeight="1">
      <c r="N625" s="553"/>
      <c r="O625" s="553"/>
      <c r="P625" s="553"/>
      <c r="Q625" s="553"/>
      <c r="R625" s="553"/>
      <c r="S625" s="553"/>
    </row>
    <row r="626" spans="14:19" ht="27.95" customHeight="1">
      <c r="N626" s="553"/>
      <c r="O626" s="553"/>
      <c r="P626" s="553"/>
      <c r="Q626" s="553"/>
      <c r="R626" s="553"/>
      <c r="S626" s="553"/>
    </row>
    <row r="627" spans="14:19" ht="27.95" customHeight="1">
      <c r="N627" s="553"/>
      <c r="O627" s="553"/>
      <c r="P627" s="553"/>
      <c r="Q627" s="553"/>
      <c r="R627" s="553"/>
      <c r="S627" s="553"/>
    </row>
    <row r="628" spans="14:19" ht="27.95" customHeight="1">
      <c r="N628" s="553"/>
      <c r="O628" s="553"/>
      <c r="P628" s="553"/>
      <c r="Q628" s="553"/>
      <c r="R628" s="553"/>
      <c r="S628" s="553"/>
    </row>
    <row r="629" spans="14:19" ht="27.95" customHeight="1">
      <c r="N629" s="553"/>
      <c r="O629" s="553"/>
      <c r="P629" s="553"/>
      <c r="Q629" s="553"/>
      <c r="R629" s="553"/>
      <c r="S629" s="553"/>
    </row>
    <row r="630" spans="14:19" ht="27.95" customHeight="1">
      <c r="N630" s="553"/>
      <c r="O630" s="553"/>
      <c r="P630" s="553"/>
      <c r="Q630" s="553"/>
      <c r="R630" s="553"/>
      <c r="S630" s="553"/>
    </row>
    <row r="631" spans="14:19" ht="27.95" customHeight="1">
      <c r="N631" s="553"/>
      <c r="O631" s="553"/>
      <c r="P631" s="553"/>
      <c r="Q631" s="553"/>
      <c r="R631" s="553"/>
      <c r="S631" s="553"/>
    </row>
    <row r="632" spans="14:19" ht="27.95" customHeight="1">
      <c r="N632" s="553"/>
      <c r="O632" s="553"/>
      <c r="P632" s="553"/>
      <c r="Q632" s="553"/>
      <c r="R632" s="553"/>
      <c r="S632" s="553"/>
    </row>
    <row r="633" spans="14:19" ht="27.95" customHeight="1">
      <c r="N633" s="553"/>
      <c r="O633" s="553"/>
      <c r="P633" s="553"/>
      <c r="Q633" s="553"/>
      <c r="R633" s="553"/>
      <c r="S633" s="553"/>
    </row>
    <row r="634" spans="14:19" ht="27.95" customHeight="1">
      <c r="N634" s="553"/>
      <c r="O634" s="553"/>
      <c r="P634" s="553"/>
      <c r="Q634" s="553"/>
      <c r="R634" s="553"/>
      <c r="S634" s="553"/>
    </row>
    <row r="635" spans="14:19" ht="27.95" customHeight="1">
      <c r="N635" s="553"/>
      <c r="O635" s="553"/>
      <c r="P635" s="553"/>
      <c r="Q635" s="553"/>
      <c r="R635" s="553"/>
      <c r="S635" s="553"/>
    </row>
    <row r="636" spans="14:19" ht="27.95" customHeight="1">
      <c r="N636" s="553"/>
      <c r="O636" s="553"/>
      <c r="P636" s="553"/>
      <c r="Q636" s="553"/>
      <c r="R636" s="553"/>
      <c r="S636" s="553"/>
    </row>
    <row r="637" spans="14:19" ht="27.95" customHeight="1">
      <c r="N637" s="553"/>
      <c r="O637" s="553"/>
      <c r="P637" s="553"/>
      <c r="Q637" s="553"/>
      <c r="R637" s="553"/>
      <c r="S637" s="553"/>
    </row>
    <row r="638" spans="14:19" ht="27.95" customHeight="1">
      <c r="N638" s="553"/>
      <c r="O638" s="553"/>
      <c r="P638" s="553"/>
      <c r="Q638" s="553"/>
      <c r="R638" s="553"/>
      <c r="S638" s="553"/>
    </row>
    <row r="639" spans="14:19" ht="27.95" customHeight="1">
      <c r="N639" s="553"/>
      <c r="O639" s="553"/>
      <c r="P639" s="553"/>
      <c r="Q639" s="553"/>
      <c r="R639" s="553"/>
      <c r="S639" s="553"/>
    </row>
    <row r="640" spans="14:19" ht="27.95" customHeight="1">
      <c r="N640" s="553"/>
      <c r="O640" s="553"/>
      <c r="P640" s="553"/>
      <c r="Q640" s="553"/>
      <c r="R640" s="553"/>
      <c r="S640" s="553"/>
    </row>
    <row r="641" spans="14:19" ht="27.95" customHeight="1">
      <c r="N641" s="553"/>
      <c r="O641" s="553"/>
      <c r="P641" s="553"/>
      <c r="Q641" s="553"/>
      <c r="R641" s="553"/>
      <c r="S641" s="553"/>
    </row>
    <row r="642" spans="14:19" ht="27.95" customHeight="1">
      <c r="N642" s="553"/>
      <c r="O642" s="553"/>
      <c r="P642" s="553"/>
      <c r="Q642" s="553"/>
      <c r="R642" s="553"/>
      <c r="S642" s="553"/>
    </row>
    <row r="643" spans="14:19" ht="27.95" customHeight="1">
      <c r="N643" s="553"/>
      <c r="O643" s="553"/>
      <c r="P643" s="553"/>
      <c r="Q643" s="553"/>
      <c r="R643" s="553"/>
      <c r="S643" s="553"/>
    </row>
    <row r="644" spans="14:19" ht="27.95" customHeight="1">
      <c r="N644" s="553"/>
      <c r="O644" s="553"/>
      <c r="P644" s="553"/>
      <c r="Q644" s="553"/>
      <c r="R644" s="553"/>
      <c r="S644" s="553"/>
    </row>
    <row r="645" spans="14:19" ht="27.95" customHeight="1">
      <c r="N645" s="553"/>
      <c r="O645" s="553"/>
      <c r="P645" s="553"/>
      <c r="Q645" s="553"/>
      <c r="R645" s="553"/>
      <c r="S645" s="553"/>
    </row>
    <row r="646" spans="14:19" ht="27.95" customHeight="1">
      <c r="N646" s="553"/>
      <c r="O646" s="553"/>
      <c r="P646" s="553"/>
      <c r="Q646" s="553"/>
      <c r="R646" s="553"/>
      <c r="S646" s="553"/>
    </row>
    <row r="647" spans="14:19" ht="27.95" customHeight="1">
      <c r="N647" s="553"/>
      <c r="O647" s="553"/>
      <c r="P647" s="553"/>
      <c r="Q647" s="553"/>
      <c r="R647" s="553"/>
      <c r="S647" s="553"/>
    </row>
    <row r="648" spans="14:19" ht="27.95" customHeight="1">
      <c r="N648" s="553"/>
      <c r="O648" s="553"/>
      <c r="P648" s="553"/>
      <c r="Q648" s="553"/>
      <c r="R648" s="553"/>
      <c r="S648" s="553"/>
    </row>
    <row r="649" spans="14:19" ht="27.95" customHeight="1">
      <c r="N649" s="553"/>
      <c r="O649" s="553"/>
      <c r="P649" s="553"/>
      <c r="Q649" s="553"/>
      <c r="R649" s="553"/>
      <c r="S649" s="553"/>
    </row>
    <row r="650" spans="14:19" ht="27.95" customHeight="1">
      <c r="N650" s="553"/>
      <c r="O650" s="553"/>
      <c r="P650" s="553"/>
      <c r="Q650" s="553"/>
      <c r="R650" s="553"/>
      <c r="S650" s="553"/>
    </row>
    <row r="651" spans="14:19" ht="27.95" customHeight="1">
      <c r="N651" s="553"/>
      <c r="O651" s="553"/>
      <c r="P651" s="553"/>
      <c r="Q651" s="553"/>
      <c r="R651" s="553"/>
      <c r="S651" s="553"/>
    </row>
    <row r="652" spans="14:19" ht="27.95" customHeight="1">
      <c r="N652" s="553"/>
      <c r="O652" s="553"/>
      <c r="P652" s="553"/>
      <c r="Q652" s="553"/>
      <c r="R652" s="553"/>
      <c r="S652" s="553"/>
    </row>
    <row r="653" spans="14:19" ht="27.95" customHeight="1">
      <c r="N653" s="553"/>
      <c r="O653" s="553"/>
      <c r="P653" s="553"/>
      <c r="Q653" s="553"/>
      <c r="R653" s="553"/>
      <c r="S653" s="553"/>
    </row>
    <row r="654" spans="14:19" ht="27.95" customHeight="1">
      <c r="N654" s="553"/>
      <c r="O654" s="553"/>
      <c r="P654" s="553"/>
      <c r="Q654" s="553"/>
      <c r="R654" s="553"/>
      <c r="S654" s="553"/>
    </row>
    <row r="655" spans="14:19" ht="27.95" customHeight="1">
      <c r="N655" s="553"/>
      <c r="O655" s="553"/>
      <c r="P655" s="553"/>
      <c r="Q655" s="553"/>
      <c r="R655" s="553"/>
      <c r="S655" s="553"/>
    </row>
    <row r="656" spans="14:19" ht="27.95" customHeight="1">
      <c r="N656" s="553"/>
      <c r="O656" s="553"/>
      <c r="P656" s="553"/>
      <c r="Q656" s="553"/>
      <c r="R656" s="553"/>
      <c r="S656" s="553"/>
    </row>
    <row r="657" spans="14:19" ht="27.95" customHeight="1">
      <c r="N657" s="553"/>
      <c r="O657" s="553"/>
      <c r="P657" s="553"/>
      <c r="Q657" s="553"/>
      <c r="R657" s="553"/>
      <c r="S657" s="553"/>
    </row>
    <row r="658" spans="14:19" ht="27.95" customHeight="1">
      <c r="N658" s="553"/>
      <c r="O658" s="553"/>
      <c r="P658" s="553"/>
      <c r="Q658" s="553"/>
      <c r="R658" s="553"/>
      <c r="S658" s="553"/>
    </row>
    <row r="659" spans="14:19" ht="27.95" customHeight="1">
      <c r="N659" s="553"/>
      <c r="O659" s="553"/>
      <c r="P659" s="553"/>
      <c r="Q659" s="553"/>
      <c r="R659" s="553"/>
      <c r="S659" s="553"/>
    </row>
    <row r="660" spans="14:19" ht="27.95" customHeight="1">
      <c r="N660" s="553"/>
      <c r="O660" s="553"/>
      <c r="P660" s="553"/>
      <c r="Q660" s="553"/>
      <c r="R660" s="553"/>
      <c r="S660" s="553"/>
    </row>
    <row r="661" spans="14:19" ht="27.95" customHeight="1">
      <c r="N661" s="553"/>
      <c r="O661" s="553"/>
      <c r="P661" s="553"/>
      <c r="Q661" s="553"/>
      <c r="R661" s="553"/>
      <c r="S661" s="553"/>
    </row>
    <row r="662" spans="14:19" ht="27.95" customHeight="1">
      <c r="N662" s="553"/>
      <c r="O662" s="553"/>
      <c r="P662" s="553"/>
      <c r="Q662" s="553"/>
      <c r="R662" s="553"/>
      <c r="S662" s="553"/>
    </row>
    <row r="663" spans="14:19" ht="27.95" customHeight="1">
      <c r="N663" s="553"/>
      <c r="O663" s="553"/>
      <c r="P663" s="553"/>
      <c r="Q663" s="553"/>
      <c r="R663" s="553"/>
      <c r="S663" s="553"/>
    </row>
    <row r="664" spans="14:19" ht="27.95" customHeight="1">
      <c r="N664" s="553"/>
      <c r="O664" s="553"/>
      <c r="P664" s="553"/>
      <c r="Q664" s="553"/>
      <c r="R664" s="553"/>
      <c r="S664" s="553"/>
    </row>
    <row r="665" spans="14:19" ht="27.95" customHeight="1">
      <c r="N665" s="553"/>
      <c r="O665" s="553"/>
      <c r="P665" s="553"/>
      <c r="Q665" s="553"/>
      <c r="R665" s="553"/>
      <c r="S665" s="553"/>
    </row>
    <row r="666" spans="14:19" ht="27.95" customHeight="1">
      <c r="N666" s="553"/>
      <c r="O666" s="553"/>
      <c r="P666" s="553"/>
      <c r="Q666" s="553"/>
      <c r="R666" s="553"/>
      <c r="S666" s="553"/>
    </row>
    <row r="667" spans="14:19" ht="27.95" customHeight="1">
      <c r="N667" s="553"/>
      <c r="O667" s="553"/>
      <c r="P667" s="553"/>
      <c r="Q667" s="553"/>
      <c r="R667" s="553"/>
      <c r="S667" s="553"/>
    </row>
    <row r="668" spans="14:19" ht="27.95" customHeight="1">
      <c r="N668" s="553"/>
      <c r="O668" s="553"/>
      <c r="P668" s="553"/>
      <c r="Q668" s="553"/>
      <c r="R668" s="553"/>
      <c r="S668" s="553"/>
    </row>
    <row r="669" spans="14:19" ht="27.95" customHeight="1">
      <c r="N669" s="553"/>
      <c r="O669" s="553"/>
      <c r="P669" s="553"/>
      <c r="Q669" s="553"/>
      <c r="R669" s="553"/>
      <c r="S669" s="553"/>
    </row>
    <row r="670" spans="14:19" ht="27.95" customHeight="1">
      <c r="N670" s="553"/>
      <c r="O670" s="553"/>
      <c r="P670" s="553"/>
      <c r="Q670" s="553"/>
      <c r="R670" s="553"/>
      <c r="S670" s="553"/>
    </row>
    <row r="671" spans="14:19" ht="27.95" customHeight="1">
      <c r="N671" s="553"/>
      <c r="O671" s="553"/>
      <c r="P671" s="553"/>
      <c r="Q671" s="553"/>
      <c r="R671" s="553"/>
      <c r="S671" s="553"/>
    </row>
    <row r="672" spans="14:19" ht="27.95" customHeight="1">
      <c r="N672" s="553"/>
      <c r="O672" s="553"/>
      <c r="P672" s="553"/>
      <c r="Q672" s="553"/>
      <c r="R672" s="553"/>
      <c r="S672" s="553"/>
    </row>
    <row r="673" spans="14:19" ht="27.95" customHeight="1">
      <c r="N673" s="553"/>
      <c r="O673" s="553"/>
      <c r="P673" s="553"/>
      <c r="Q673" s="553"/>
      <c r="R673" s="553"/>
      <c r="S673" s="553"/>
    </row>
    <row r="674" spans="14:19" ht="27.95" customHeight="1">
      <c r="N674" s="553"/>
      <c r="O674" s="553"/>
      <c r="P674" s="553"/>
      <c r="Q674" s="553"/>
      <c r="R674" s="553"/>
      <c r="S674" s="553"/>
    </row>
    <row r="675" spans="14:19" ht="27.95" customHeight="1">
      <c r="N675" s="553"/>
      <c r="O675" s="553"/>
      <c r="P675" s="553"/>
      <c r="Q675" s="553"/>
      <c r="R675" s="553"/>
      <c r="S675" s="553"/>
    </row>
    <row r="676" spans="14:19" ht="27.95" customHeight="1">
      <c r="N676" s="553"/>
      <c r="O676" s="553"/>
      <c r="P676" s="553"/>
      <c r="Q676" s="553"/>
      <c r="R676" s="553"/>
      <c r="S676" s="553"/>
    </row>
    <row r="677" spans="14:19" ht="27.95" customHeight="1">
      <c r="N677" s="553"/>
      <c r="O677" s="553"/>
      <c r="P677" s="553"/>
      <c r="Q677" s="553"/>
      <c r="R677" s="553"/>
      <c r="S677" s="553"/>
    </row>
    <row r="678" spans="14:19" ht="27.95" customHeight="1">
      <c r="N678" s="553"/>
      <c r="O678" s="553"/>
      <c r="P678" s="553"/>
      <c r="Q678" s="553"/>
      <c r="R678" s="553"/>
      <c r="S678" s="553"/>
    </row>
    <row r="679" spans="14:19" ht="27.95" customHeight="1">
      <c r="N679" s="553"/>
      <c r="O679" s="553"/>
      <c r="P679" s="553"/>
      <c r="Q679" s="553"/>
      <c r="R679" s="553"/>
      <c r="S679" s="553"/>
    </row>
    <row r="680" spans="14:19" ht="27.95" customHeight="1">
      <c r="N680" s="553"/>
      <c r="O680" s="553"/>
      <c r="P680" s="553"/>
      <c r="Q680" s="553"/>
      <c r="R680" s="553"/>
      <c r="S680" s="553"/>
    </row>
    <row r="681" spans="14:19" ht="27.95" customHeight="1">
      <c r="N681" s="553"/>
      <c r="O681" s="553"/>
      <c r="P681" s="553"/>
      <c r="Q681" s="553"/>
      <c r="R681" s="553"/>
      <c r="S681" s="553"/>
    </row>
    <row r="682" spans="14:19" ht="27.95" customHeight="1">
      <c r="N682" s="553"/>
      <c r="O682" s="553"/>
      <c r="P682" s="553"/>
      <c r="Q682" s="553"/>
      <c r="R682" s="553"/>
      <c r="S682" s="553"/>
    </row>
    <row r="683" spans="14:19" ht="27.95" customHeight="1">
      <c r="N683" s="553"/>
      <c r="O683" s="553"/>
      <c r="P683" s="553"/>
      <c r="Q683" s="553"/>
      <c r="R683" s="553"/>
      <c r="S683" s="553"/>
    </row>
    <row r="684" spans="14:19" ht="27.95" customHeight="1">
      <c r="N684" s="553"/>
      <c r="O684" s="553"/>
      <c r="P684" s="553"/>
      <c r="Q684" s="553"/>
      <c r="R684" s="553"/>
      <c r="S684" s="553"/>
    </row>
    <row r="685" spans="14:19" ht="27.95" customHeight="1">
      <c r="N685" s="553"/>
      <c r="O685" s="553"/>
      <c r="P685" s="553"/>
      <c r="Q685" s="553"/>
      <c r="R685" s="553"/>
      <c r="S685" s="553"/>
    </row>
    <row r="686" spans="14:19" ht="27.95" customHeight="1">
      <c r="N686" s="553"/>
      <c r="O686" s="553"/>
      <c r="P686" s="553"/>
      <c r="Q686" s="553"/>
      <c r="R686" s="553"/>
      <c r="S686" s="553"/>
    </row>
    <row r="687" spans="14:19" ht="27.95" customHeight="1">
      <c r="N687" s="553"/>
      <c r="O687" s="553"/>
      <c r="P687" s="553"/>
      <c r="Q687" s="553"/>
      <c r="R687" s="553"/>
      <c r="S687" s="553"/>
    </row>
    <row r="688" spans="14:19" ht="27.95" customHeight="1">
      <c r="N688" s="553"/>
      <c r="O688" s="553"/>
      <c r="P688" s="553"/>
      <c r="Q688" s="553"/>
      <c r="R688" s="553"/>
      <c r="S688" s="553"/>
    </row>
    <row r="689" spans="14:19" ht="27.95" customHeight="1">
      <c r="N689" s="553"/>
      <c r="O689" s="553"/>
      <c r="P689" s="553"/>
      <c r="Q689" s="553"/>
      <c r="R689" s="553"/>
      <c r="S689" s="553"/>
    </row>
    <row r="690" spans="14:19" ht="27.95" customHeight="1">
      <c r="N690" s="553"/>
      <c r="O690" s="553"/>
      <c r="P690" s="553"/>
      <c r="Q690" s="553"/>
      <c r="R690" s="553"/>
      <c r="S690" s="553"/>
    </row>
    <row r="691" spans="14:19" ht="27.95" customHeight="1">
      <c r="N691" s="553"/>
      <c r="O691" s="553"/>
      <c r="P691" s="553"/>
      <c r="Q691" s="553"/>
      <c r="R691" s="553"/>
      <c r="S691" s="553"/>
    </row>
    <row r="692" spans="14:19" ht="27.95" customHeight="1">
      <c r="N692" s="553"/>
      <c r="O692" s="553"/>
      <c r="P692" s="553"/>
      <c r="Q692" s="553"/>
      <c r="R692" s="553"/>
      <c r="S692" s="553"/>
    </row>
    <row r="693" spans="14:19" ht="27.95" customHeight="1">
      <c r="N693" s="553"/>
      <c r="O693" s="553"/>
      <c r="P693" s="553"/>
      <c r="Q693" s="553"/>
      <c r="R693" s="553"/>
      <c r="S693" s="553"/>
    </row>
    <row r="694" spans="14:19" ht="27.95" customHeight="1">
      <c r="N694" s="553"/>
      <c r="O694" s="553"/>
      <c r="P694" s="553"/>
      <c r="Q694" s="553"/>
      <c r="R694" s="553"/>
      <c r="S694" s="553"/>
    </row>
    <row r="695" spans="14:19" ht="27.95" customHeight="1">
      <c r="N695" s="553"/>
      <c r="O695" s="553"/>
      <c r="P695" s="553"/>
      <c r="Q695" s="553"/>
      <c r="R695" s="553"/>
      <c r="S695" s="553"/>
    </row>
    <row r="696" spans="14:19" ht="27.95" customHeight="1">
      <c r="N696" s="553"/>
      <c r="O696" s="553"/>
      <c r="P696" s="553"/>
      <c r="Q696" s="553"/>
      <c r="R696" s="553"/>
      <c r="S696" s="553"/>
    </row>
    <row r="697" spans="14:19" ht="27.95" customHeight="1">
      <c r="N697" s="553"/>
      <c r="O697" s="553"/>
      <c r="P697" s="553"/>
      <c r="Q697" s="553"/>
      <c r="R697" s="553"/>
      <c r="S697" s="553"/>
    </row>
    <row r="698" spans="14:19" ht="27.95" customHeight="1">
      <c r="N698" s="553"/>
      <c r="O698" s="553"/>
      <c r="P698" s="553"/>
      <c r="Q698" s="553"/>
      <c r="R698" s="553"/>
      <c r="S698" s="553"/>
    </row>
    <row r="699" spans="14:19" ht="27.95" customHeight="1">
      <c r="N699" s="553"/>
      <c r="O699" s="553"/>
      <c r="P699" s="553"/>
      <c r="Q699" s="553"/>
      <c r="R699" s="553"/>
      <c r="S699" s="553"/>
    </row>
    <row r="700" spans="14:19" ht="27.95" customHeight="1">
      <c r="N700" s="553"/>
      <c r="O700" s="553"/>
      <c r="P700" s="553"/>
      <c r="Q700" s="553"/>
      <c r="R700" s="553"/>
      <c r="S700" s="553"/>
    </row>
    <row r="701" spans="14:19" ht="27.95" customHeight="1">
      <c r="N701" s="553"/>
      <c r="O701" s="553"/>
      <c r="P701" s="553"/>
      <c r="Q701" s="553"/>
      <c r="R701" s="553"/>
      <c r="S701" s="553"/>
    </row>
    <row r="702" spans="14:19" ht="27.95" customHeight="1">
      <c r="N702" s="553"/>
      <c r="O702" s="553"/>
      <c r="P702" s="553"/>
      <c r="Q702" s="553"/>
      <c r="R702" s="553"/>
      <c r="S702" s="553"/>
    </row>
    <row r="703" spans="14:19" ht="27.95" customHeight="1">
      <c r="N703" s="553"/>
      <c r="O703" s="553"/>
      <c r="P703" s="553"/>
      <c r="Q703" s="553"/>
      <c r="R703" s="553"/>
      <c r="S703" s="553"/>
    </row>
    <row r="704" spans="14:19" ht="27.95" customHeight="1">
      <c r="N704" s="553"/>
      <c r="O704" s="553"/>
      <c r="P704" s="553"/>
      <c r="Q704" s="553"/>
      <c r="R704" s="553"/>
      <c r="S704" s="553"/>
    </row>
    <row r="705" spans="14:19" ht="27.95" customHeight="1">
      <c r="N705" s="553"/>
      <c r="O705" s="553"/>
      <c r="P705" s="553"/>
      <c r="Q705" s="553"/>
      <c r="R705" s="553"/>
      <c r="S705" s="553"/>
    </row>
    <row r="706" spans="14:19" ht="27.95" customHeight="1">
      <c r="N706" s="553"/>
      <c r="O706" s="553"/>
      <c r="P706" s="553"/>
      <c r="Q706" s="553"/>
      <c r="R706" s="553"/>
      <c r="S706" s="553"/>
    </row>
    <row r="707" spans="14:19" ht="27.95" customHeight="1">
      <c r="N707" s="553"/>
      <c r="O707" s="553"/>
      <c r="P707" s="553"/>
      <c r="Q707" s="553"/>
      <c r="R707" s="553"/>
      <c r="S707" s="553"/>
    </row>
    <row r="708" spans="14:19" ht="27.95" customHeight="1">
      <c r="N708" s="553"/>
      <c r="O708" s="553"/>
      <c r="P708" s="553"/>
      <c r="Q708" s="553"/>
      <c r="R708" s="553"/>
      <c r="S708" s="553"/>
    </row>
    <row r="709" spans="14:19" ht="27.95" customHeight="1">
      <c r="N709" s="553"/>
      <c r="O709" s="553"/>
      <c r="P709" s="553"/>
      <c r="Q709" s="553"/>
      <c r="R709" s="553"/>
      <c r="S709" s="553"/>
    </row>
    <row r="710" spans="14:19" ht="27.95" customHeight="1">
      <c r="N710" s="553"/>
      <c r="O710" s="553"/>
      <c r="P710" s="553"/>
      <c r="Q710" s="553"/>
      <c r="R710" s="553"/>
      <c r="S710" s="553"/>
    </row>
    <row r="711" spans="14:19" ht="27.95" customHeight="1">
      <c r="N711" s="553"/>
      <c r="O711" s="553"/>
      <c r="P711" s="553"/>
      <c r="Q711" s="553"/>
      <c r="R711" s="553"/>
      <c r="S711" s="553"/>
    </row>
    <row r="712" spans="14:19" ht="27.95" customHeight="1">
      <c r="N712" s="553"/>
      <c r="O712" s="553"/>
      <c r="P712" s="553"/>
      <c r="Q712" s="553"/>
      <c r="R712" s="553"/>
      <c r="S712" s="553"/>
    </row>
    <row r="713" spans="14:19" ht="27.95" customHeight="1">
      <c r="N713" s="553"/>
      <c r="O713" s="553"/>
      <c r="P713" s="553"/>
      <c r="Q713" s="553"/>
      <c r="R713" s="553"/>
      <c r="S713" s="553"/>
    </row>
    <row r="714" spans="14:19" ht="27.95" customHeight="1">
      <c r="N714" s="553"/>
      <c r="O714" s="553"/>
      <c r="P714" s="553"/>
      <c r="Q714" s="553"/>
      <c r="R714" s="553"/>
      <c r="S714" s="553"/>
    </row>
    <row r="715" spans="14:19" ht="27.95" customHeight="1">
      <c r="N715" s="553"/>
      <c r="O715" s="553"/>
      <c r="P715" s="553"/>
      <c r="Q715" s="553"/>
      <c r="R715" s="553"/>
      <c r="S715" s="553"/>
    </row>
    <row r="716" spans="14:19" ht="27.95" customHeight="1">
      <c r="N716" s="553"/>
      <c r="O716" s="553"/>
      <c r="P716" s="553"/>
      <c r="Q716" s="553"/>
      <c r="R716" s="553"/>
      <c r="S716" s="553"/>
    </row>
    <row r="717" spans="14:19" ht="27.95" customHeight="1">
      <c r="N717" s="553"/>
      <c r="O717" s="553"/>
      <c r="P717" s="553"/>
      <c r="Q717" s="553"/>
      <c r="R717" s="553"/>
      <c r="S717" s="553"/>
    </row>
    <row r="718" spans="14:19" ht="27.95" customHeight="1">
      <c r="N718" s="553"/>
      <c r="O718" s="553"/>
      <c r="P718" s="553"/>
      <c r="Q718" s="553"/>
      <c r="R718" s="553"/>
      <c r="S718" s="553"/>
    </row>
    <row r="719" spans="14:19" ht="27.95" customHeight="1">
      <c r="N719" s="553"/>
      <c r="O719" s="553"/>
      <c r="P719" s="553"/>
      <c r="Q719" s="553"/>
      <c r="R719" s="553"/>
      <c r="S719" s="553"/>
    </row>
    <row r="720" spans="14:19" ht="27.95" customHeight="1">
      <c r="N720" s="553"/>
      <c r="O720" s="553"/>
      <c r="P720" s="553"/>
      <c r="Q720" s="553"/>
      <c r="R720" s="553"/>
      <c r="S720" s="553"/>
    </row>
    <row r="721" spans="14:19" ht="27.95" customHeight="1">
      <c r="N721" s="553"/>
      <c r="O721" s="553"/>
      <c r="P721" s="553"/>
      <c r="Q721" s="553"/>
      <c r="R721" s="553"/>
      <c r="S721" s="553"/>
    </row>
    <row r="722" spans="14:19" ht="27.95" customHeight="1">
      <c r="N722" s="553"/>
      <c r="O722" s="553"/>
      <c r="P722" s="553"/>
      <c r="Q722" s="553"/>
      <c r="R722" s="553"/>
      <c r="S722" s="553"/>
    </row>
    <row r="723" spans="14:19" ht="27.95" customHeight="1">
      <c r="N723" s="553"/>
      <c r="O723" s="553"/>
      <c r="P723" s="553"/>
      <c r="Q723" s="553"/>
      <c r="R723" s="553"/>
      <c r="S723" s="553"/>
    </row>
    <row r="724" spans="14:19" ht="27.95" customHeight="1">
      <c r="N724" s="553"/>
      <c r="O724" s="553"/>
      <c r="P724" s="553"/>
      <c r="Q724" s="553"/>
      <c r="R724" s="553"/>
      <c r="S724" s="553"/>
    </row>
    <row r="725" spans="14:19" ht="27.95" customHeight="1">
      <c r="N725" s="553"/>
      <c r="O725" s="553"/>
      <c r="P725" s="553"/>
      <c r="Q725" s="553"/>
      <c r="R725" s="553"/>
      <c r="S725" s="553"/>
    </row>
    <row r="726" spans="14:19" ht="27.95" customHeight="1">
      <c r="N726" s="553"/>
      <c r="O726" s="553"/>
      <c r="P726" s="553"/>
      <c r="Q726" s="553"/>
      <c r="R726" s="553"/>
      <c r="S726" s="553"/>
    </row>
    <row r="727" spans="14:19" ht="27.95" customHeight="1">
      <c r="N727" s="553"/>
      <c r="O727" s="553"/>
      <c r="P727" s="553"/>
      <c r="Q727" s="553"/>
      <c r="R727" s="553"/>
      <c r="S727" s="553"/>
    </row>
    <row r="728" spans="14:19" ht="27.95" customHeight="1">
      <c r="N728" s="553"/>
      <c r="O728" s="553"/>
      <c r="P728" s="553"/>
      <c r="Q728" s="553"/>
      <c r="R728" s="553"/>
      <c r="S728" s="553"/>
    </row>
    <row r="729" spans="14:19" ht="27.95" customHeight="1">
      <c r="N729" s="553"/>
      <c r="O729" s="553"/>
      <c r="P729" s="553"/>
      <c r="Q729" s="553"/>
      <c r="R729" s="553"/>
      <c r="S729" s="553"/>
    </row>
    <row r="730" spans="14:19" ht="27.95" customHeight="1">
      <c r="N730" s="553"/>
      <c r="O730" s="553"/>
      <c r="P730" s="553"/>
      <c r="Q730" s="553"/>
      <c r="R730" s="553"/>
      <c r="S730" s="553"/>
    </row>
    <row r="731" spans="14:19" ht="27.95" customHeight="1">
      <c r="N731" s="553"/>
      <c r="O731" s="553"/>
      <c r="P731" s="553"/>
      <c r="Q731" s="553"/>
      <c r="R731" s="553"/>
      <c r="S731" s="553"/>
    </row>
    <row r="732" spans="14:19" ht="27.95" customHeight="1">
      <c r="N732" s="553"/>
      <c r="O732" s="553"/>
      <c r="P732" s="553"/>
      <c r="Q732" s="553"/>
      <c r="R732" s="553"/>
      <c r="S732" s="553"/>
    </row>
    <row r="733" spans="14:19" ht="27.95" customHeight="1">
      <c r="N733" s="553"/>
      <c r="O733" s="553"/>
      <c r="P733" s="553"/>
      <c r="Q733" s="553"/>
      <c r="R733" s="553"/>
      <c r="S733" s="553"/>
    </row>
    <row r="734" spans="14:19" ht="27.95" customHeight="1">
      <c r="N734" s="553"/>
      <c r="O734" s="553"/>
      <c r="P734" s="553"/>
      <c r="Q734" s="553"/>
      <c r="R734" s="553"/>
      <c r="S734" s="553"/>
    </row>
    <row r="735" spans="14:19" ht="27.95" customHeight="1">
      <c r="N735" s="553"/>
      <c r="O735" s="553"/>
      <c r="P735" s="553"/>
      <c r="Q735" s="553"/>
      <c r="R735" s="553"/>
      <c r="S735" s="553"/>
    </row>
    <row r="736" spans="14:19" ht="27.95" customHeight="1">
      <c r="N736" s="553"/>
      <c r="O736" s="553"/>
      <c r="P736" s="553"/>
      <c r="Q736" s="553"/>
      <c r="R736" s="553"/>
      <c r="S736" s="553"/>
    </row>
    <row r="737" spans="14:19" ht="27.95" customHeight="1">
      <c r="N737" s="553"/>
      <c r="O737" s="553"/>
      <c r="P737" s="553"/>
      <c r="Q737" s="553"/>
      <c r="R737" s="553"/>
      <c r="S737" s="553"/>
    </row>
    <row r="738" spans="14:19" ht="27.95" customHeight="1">
      <c r="N738" s="553"/>
      <c r="O738" s="553"/>
      <c r="P738" s="553"/>
      <c r="Q738" s="553"/>
      <c r="R738" s="553"/>
      <c r="S738" s="553"/>
    </row>
    <row r="739" spans="14:19" ht="27.95" customHeight="1">
      <c r="N739" s="553"/>
      <c r="O739" s="553"/>
      <c r="P739" s="553"/>
      <c r="Q739" s="553"/>
      <c r="R739" s="553"/>
      <c r="S739" s="553"/>
    </row>
    <row r="740" spans="14:19" ht="27.95" customHeight="1">
      <c r="N740" s="553"/>
      <c r="O740" s="553"/>
      <c r="P740" s="553"/>
      <c r="Q740" s="553"/>
      <c r="R740" s="553"/>
      <c r="S740" s="553"/>
    </row>
    <row r="741" spans="14:19" ht="27.95" customHeight="1">
      <c r="N741" s="553"/>
      <c r="O741" s="553"/>
      <c r="P741" s="553"/>
      <c r="Q741" s="553"/>
      <c r="R741" s="553"/>
      <c r="S741" s="553"/>
    </row>
    <row r="742" spans="14:19" ht="27.95" customHeight="1">
      <c r="N742" s="553"/>
      <c r="O742" s="553"/>
      <c r="P742" s="553"/>
      <c r="Q742" s="553"/>
      <c r="R742" s="553"/>
      <c r="S742" s="553"/>
    </row>
    <row r="743" spans="14:19" ht="27.95" customHeight="1">
      <c r="N743" s="553"/>
      <c r="O743" s="553"/>
      <c r="P743" s="553"/>
      <c r="Q743" s="553"/>
      <c r="R743" s="553"/>
      <c r="S743" s="553"/>
    </row>
    <row r="744" spans="14:19" ht="27.95" customHeight="1">
      <c r="N744" s="553"/>
      <c r="O744" s="553"/>
      <c r="P744" s="553"/>
      <c r="Q744" s="553"/>
      <c r="R744" s="553"/>
      <c r="S744" s="553"/>
    </row>
    <row r="745" spans="14:19" ht="27.95" customHeight="1">
      <c r="N745" s="553"/>
      <c r="O745" s="553"/>
      <c r="P745" s="553"/>
      <c r="Q745" s="553"/>
      <c r="R745" s="553"/>
      <c r="S745" s="553"/>
    </row>
    <row r="746" spans="14:19" ht="27.95" customHeight="1">
      <c r="N746" s="553"/>
      <c r="O746" s="553"/>
      <c r="P746" s="553"/>
      <c r="Q746" s="553"/>
      <c r="R746" s="553"/>
      <c r="S746" s="553"/>
    </row>
    <row r="747" spans="14:19" ht="27.95" customHeight="1">
      <c r="N747" s="553"/>
      <c r="O747" s="553"/>
      <c r="P747" s="553"/>
      <c r="Q747" s="553"/>
      <c r="R747" s="553"/>
      <c r="S747" s="553"/>
    </row>
    <row r="748" spans="14:19" ht="27.95" customHeight="1">
      <c r="N748" s="553"/>
      <c r="O748" s="553"/>
      <c r="P748" s="553"/>
      <c r="Q748" s="553"/>
      <c r="R748" s="553"/>
      <c r="S748" s="553"/>
    </row>
    <row r="749" spans="14:19" ht="27.95" customHeight="1">
      <c r="N749" s="553"/>
      <c r="O749" s="553"/>
      <c r="P749" s="553"/>
      <c r="Q749" s="553"/>
      <c r="R749" s="553"/>
      <c r="S749" s="553"/>
    </row>
    <row r="750" spans="14:19" ht="27.95" customHeight="1">
      <c r="N750" s="553"/>
      <c r="O750" s="553"/>
      <c r="P750" s="553"/>
      <c r="Q750" s="553"/>
      <c r="R750" s="553"/>
      <c r="S750" s="553"/>
    </row>
    <row r="751" spans="14:19" ht="27.95" customHeight="1">
      <c r="N751" s="553"/>
      <c r="O751" s="553"/>
      <c r="P751" s="553"/>
      <c r="Q751" s="553"/>
      <c r="R751" s="553"/>
      <c r="S751" s="553"/>
    </row>
    <row r="752" spans="14:19" ht="27.95" customHeight="1">
      <c r="N752" s="553"/>
      <c r="O752" s="553"/>
      <c r="P752" s="553"/>
      <c r="Q752" s="553"/>
      <c r="R752" s="553"/>
      <c r="S752" s="553"/>
    </row>
    <row r="753" spans="14:19" ht="27.95" customHeight="1">
      <c r="N753" s="553"/>
      <c r="O753" s="553"/>
      <c r="P753" s="553"/>
      <c r="Q753" s="553"/>
      <c r="R753" s="553"/>
      <c r="S753" s="553"/>
    </row>
    <row r="754" spans="14:19" ht="27.95" customHeight="1">
      <c r="N754" s="553"/>
      <c r="O754" s="553"/>
      <c r="P754" s="553"/>
      <c r="Q754" s="553"/>
      <c r="R754" s="553"/>
      <c r="S754" s="553"/>
    </row>
    <row r="755" spans="14:19" ht="27.95" customHeight="1">
      <c r="N755" s="553"/>
      <c r="O755" s="553"/>
      <c r="P755" s="553"/>
      <c r="Q755" s="553"/>
      <c r="R755" s="553"/>
      <c r="S755" s="553"/>
    </row>
    <row r="756" spans="14:19" ht="27.95" customHeight="1">
      <c r="N756" s="553"/>
      <c r="O756" s="553"/>
      <c r="P756" s="553"/>
      <c r="Q756" s="553"/>
      <c r="R756" s="553"/>
      <c r="S756" s="553"/>
    </row>
    <row r="757" spans="14:19" ht="27.95" customHeight="1">
      <c r="N757" s="553"/>
      <c r="O757" s="553"/>
      <c r="P757" s="553"/>
      <c r="Q757" s="553"/>
      <c r="R757" s="553"/>
      <c r="S757" s="553"/>
    </row>
    <row r="758" spans="14:19" ht="27.95" customHeight="1">
      <c r="N758" s="553"/>
      <c r="O758" s="553"/>
      <c r="P758" s="553"/>
      <c r="Q758" s="553"/>
      <c r="R758" s="553"/>
      <c r="S758" s="553"/>
    </row>
    <row r="759" spans="14:19" ht="27.95" customHeight="1">
      <c r="N759" s="553"/>
      <c r="O759" s="553"/>
      <c r="P759" s="553"/>
      <c r="Q759" s="553"/>
      <c r="R759" s="553"/>
      <c r="S759" s="553"/>
    </row>
    <row r="760" spans="14:19" ht="27.95" customHeight="1">
      <c r="N760" s="553"/>
      <c r="O760" s="553"/>
      <c r="P760" s="553"/>
      <c r="Q760" s="553"/>
      <c r="R760" s="553"/>
      <c r="S760" s="553"/>
    </row>
    <row r="761" spans="14:19" ht="27.95" customHeight="1">
      <c r="N761" s="553"/>
      <c r="O761" s="553"/>
      <c r="P761" s="553"/>
      <c r="Q761" s="553"/>
      <c r="R761" s="553"/>
      <c r="S761" s="553"/>
    </row>
    <row r="762" spans="14:19" ht="27.95" customHeight="1">
      <c r="N762" s="553"/>
      <c r="O762" s="553"/>
      <c r="P762" s="553"/>
      <c r="Q762" s="553"/>
      <c r="R762" s="553"/>
      <c r="S762" s="553"/>
    </row>
    <row r="763" spans="14:19" ht="27.95" customHeight="1">
      <c r="N763" s="553"/>
      <c r="O763" s="553"/>
      <c r="P763" s="553"/>
      <c r="Q763" s="553"/>
      <c r="R763" s="553"/>
      <c r="S763" s="553"/>
    </row>
    <row r="764" spans="14:19" ht="27.95" customHeight="1">
      <c r="N764" s="553"/>
      <c r="O764" s="553"/>
      <c r="P764" s="553"/>
      <c r="Q764" s="553"/>
      <c r="R764" s="553"/>
      <c r="S764" s="553"/>
    </row>
    <row r="765" spans="14:19" ht="27.95" customHeight="1">
      <c r="N765" s="553"/>
      <c r="O765" s="553"/>
      <c r="P765" s="553"/>
      <c r="Q765" s="553"/>
      <c r="R765" s="553"/>
      <c r="S765" s="553"/>
    </row>
    <row r="766" spans="14:19" ht="27.95" customHeight="1">
      <c r="N766" s="553"/>
      <c r="O766" s="553"/>
      <c r="P766" s="553"/>
      <c r="Q766" s="553"/>
      <c r="R766" s="553"/>
      <c r="S766" s="553"/>
    </row>
    <row r="767" spans="14:19" ht="27.95" customHeight="1">
      <c r="N767" s="553"/>
      <c r="O767" s="553"/>
      <c r="P767" s="553"/>
      <c r="Q767" s="553"/>
      <c r="R767" s="553"/>
      <c r="S767" s="553"/>
    </row>
    <row r="768" spans="14:19" ht="27.95" customHeight="1">
      <c r="N768" s="553"/>
      <c r="O768" s="553"/>
      <c r="P768" s="553"/>
      <c r="Q768" s="553"/>
      <c r="R768" s="553"/>
      <c r="S768" s="553"/>
    </row>
    <row r="769" spans="14:19" ht="27.95" customHeight="1">
      <c r="N769" s="553"/>
      <c r="O769" s="553"/>
      <c r="P769" s="553"/>
      <c r="Q769" s="553"/>
      <c r="R769" s="553"/>
      <c r="S769" s="553"/>
    </row>
    <row r="770" spans="14:19" ht="27.95" customHeight="1">
      <c r="N770" s="553"/>
      <c r="O770" s="553"/>
      <c r="P770" s="553"/>
      <c r="Q770" s="553"/>
      <c r="R770" s="553"/>
      <c r="S770" s="553"/>
    </row>
    <row r="771" spans="14:19" ht="27.95" customHeight="1">
      <c r="N771" s="553"/>
      <c r="O771" s="553"/>
      <c r="P771" s="553"/>
      <c r="Q771" s="553"/>
      <c r="R771" s="553"/>
      <c r="S771" s="553"/>
    </row>
    <row r="772" spans="14:19" ht="27.95" customHeight="1">
      <c r="N772" s="553"/>
      <c r="O772" s="553"/>
      <c r="P772" s="553"/>
      <c r="Q772" s="553"/>
      <c r="R772" s="553"/>
      <c r="S772" s="553"/>
    </row>
    <row r="773" spans="14:19" ht="27.95" customHeight="1">
      <c r="N773" s="553"/>
      <c r="O773" s="553"/>
      <c r="P773" s="553"/>
      <c r="Q773" s="553"/>
      <c r="R773" s="553"/>
      <c r="S773" s="553"/>
    </row>
    <row r="774" spans="14:19" ht="27.95" customHeight="1">
      <c r="N774" s="553"/>
      <c r="O774" s="553"/>
      <c r="P774" s="553"/>
      <c r="Q774" s="553"/>
      <c r="R774" s="553"/>
      <c r="S774" s="553"/>
    </row>
    <row r="775" spans="14:19" ht="27.95" customHeight="1">
      <c r="N775" s="553"/>
      <c r="O775" s="553"/>
      <c r="P775" s="553"/>
      <c r="Q775" s="553"/>
      <c r="R775" s="553"/>
      <c r="S775" s="553"/>
    </row>
    <row r="776" spans="14:19" ht="27.95" customHeight="1">
      <c r="N776" s="553"/>
      <c r="O776" s="553"/>
      <c r="P776" s="553"/>
      <c r="Q776" s="553"/>
      <c r="R776" s="553"/>
      <c r="S776" s="553"/>
    </row>
    <row r="777" spans="14:19" ht="27.95" customHeight="1">
      <c r="N777" s="553"/>
      <c r="O777" s="553"/>
      <c r="P777" s="553"/>
      <c r="Q777" s="553"/>
      <c r="R777" s="553"/>
      <c r="S777" s="553"/>
    </row>
    <row r="778" spans="14:19" ht="27.95" customHeight="1">
      <c r="N778" s="553"/>
      <c r="O778" s="553"/>
      <c r="P778" s="553"/>
      <c r="Q778" s="553"/>
      <c r="R778" s="553"/>
      <c r="S778" s="553"/>
    </row>
    <row r="779" spans="14:19" ht="27.95" customHeight="1">
      <c r="N779" s="553"/>
      <c r="O779" s="553"/>
      <c r="P779" s="553"/>
      <c r="Q779" s="553"/>
      <c r="R779" s="553"/>
      <c r="S779" s="553"/>
    </row>
    <row r="780" spans="14:19" ht="27.95" customHeight="1">
      <c r="N780" s="553"/>
      <c r="O780" s="553"/>
      <c r="P780" s="553"/>
      <c r="Q780" s="553"/>
      <c r="R780" s="553"/>
      <c r="S780" s="553"/>
    </row>
    <row r="781" spans="14:19" ht="27.95" customHeight="1">
      <c r="N781" s="553"/>
      <c r="O781" s="553"/>
      <c r="P781" s="553"/>
      <c r="Q781" s="553"/>
      <c r="R781" s="553"/>
      <c r="S781" s="553"/>
    </row>
    <row r="782" spans="14:19" ht="27.95" customHeight="1">
      <c r="N782" s="553"/>
      <c r="O782" s="553"/>
      <c r="P782" s="553"/>
      <c r="Q782" s="553"/>
      <c r="R782" s="553"/>
      <c r="S782" s="553"/>
    </row>
    <row r="783" spans="14:19" ht="27.95" customHeight="1">
      <c r="N783" s="553"/>
      <c r="O783" s="553"/>
      <c r="P783" s="553"/>
      <c r="Q783" s="553"/>
      <c r="R783" s="553"/>
      <c r="S783" s="553"/>
    </row>
    <row r="784" spans="14:19" ht="27.95" customHeight="1">
      <c r="N784" s="553"/>
      <c r="O784" s="553"/>
      <c r="P784" s="553"/>
      <c r="Q784" s="553"/>
      <c r="R784" s="553"/>
      <c r="S784" s="553"/>
    </row>
    <row r="785" spans="14:19" ht="27.95" customHeight="1">
      <c r="N785" s="553"/>
      <c r="O785" s="553"/>
      <c r="P785" s="553"/>
      <c r="Q785" s="553"/>
      <c r="R785" s="553"/>
      <c r="S785" s="553"/>
    </row>
    <row r="786" spans="14:19" ht="27.95" customHeight="1">
      <c r="N786" s="553"/>
      <c r="O786" s="553"/>
      <c r="P786" s="553"/>
      <c r="Q786" s="553"/>
      <c r="R786" s="553"/>
      <c r="S786" s="553"/>
    </row>
    <row r="787" spans="14:19" ht="27.95" customHeight="1">
      <c r="N787" s="553"/>
      <c r="O787" s="553"/>
      <c r="P787" s="553"/>
      <c r="Q787" s="553"/>
      <c r="R787" s="553"/>
      <c r="S787" s="553"/>
    </row>
    <row r="788" spans="14:19" ht="27.95" customHeight="1">
      <c r="N788" s="553"/>
      <c r="O788" s="553"/>
      <c r="P788" s="553"/>
      <c r="Q788" s="553"/>
      <c r="R788" s="553"/>
      <c r="S788" s="553"/>
    </row>
    <row r="789" spans="14:19" ht="27.95" customHeight="1">
      <c r="N789" s="553"/>
      <c r="O789" s="553"/>
      <c r="P789" s="553"/>
      <c r="Q789" s="553"/>
      <c r="R789" s="553"/>
      <c r="S789" s="553"/>
    </row>
    <row r="790" spans="14:19" ht="27.95" customHeight="1">
      <c r="N790" s="553"/>
      <c r="O790" s="553"/>
      <c r="P790" s="553"/>
      <c r="Q790" s="553"/>
      <c r="R790" s="553"/>
      <c r="S790" s="553"/>
    </row>
    <row r="791" spans="14:19" ht="27.95" customHeight="1">
      <c r="N791" s="553"/>
      <c r="O791" s="553"/>
      <c r="P791" s="553"/>
      <c r="Q791" s="553"/>
      <c r="R791" s="553"/>
      <c r="S791" s="553"/>
    </row>
    <row r="792" spans="14:19" ht="27.95" customHeight="1">
      <c r="N792" s="553"/>
      <c r="O792" s="553"/>
      <c r="P792" s="553"/>
      <c r="Q792" s="553"/>
      <c r="R792" s="553"/>
      <c r="S792" s="553"/>
    </row>
    <row r="793" spans="14:19" ht="27.95" customHeight="1">
      <c r="N793" s="553"/>
      <c r="O793" s="553"/>
      <c r="P793" s="553"/>
      <c r="Q793" s="553"/>
      <c r="R793" s="553"/>
      <c r="S793" s="553"/>
    </row>
    <row r="794" spans="14:19" ht="27.95" customHeight="1">
      <c r="N794" s="553"/>
      <c r="O794" s="553"/>
      <c r="P794" s="553"/>
      <c r="Q794" s="553"/>
      <c r="R794" s="553"/>
      <c r="S794" s="553"/>
    </row>
    <row r="795" spans="14:19" ht="27.95" customHeight="1">
      <c r="N795" s="553"/>
      <c r="O795" s="553"/>
      <c r="P795" s="553"/>
      <c r="Q795" s="553"/>
      <c r="R795" s="553"/>
      <c r="S795" s="553"/>
    </row>
    <row r="796" spans="14:19" ht="27.95" customHeight="1">
      <c r="N796" s="553"/>
      <c r="O796" s="553"/>
      <c r="P796" s="553"/>
      <c r="Q796" s="553"/>
      <c r="R796" s="553"/>
      <c r="S796" s="553"/>
    </row>
    <row r="797" spans="14:19" ht="27.95" customHeight="1">
      <c r="N797" s="553"/>
      <c r="O797" s="553"/>
      <c r="P797" s="553"/>
      <c r="Q797" s="553"/>
      <c r="R797" s="553"/>
      <c r="S797" s="553"/>
    </row>
    <row r="798" spans="14:19" ht="27.95" customHeight="1">
      <c r="N798" s="553"/>
      <c r="O798" s="553"/>
      <c r="P798" s="553"/>
      <c r="Q798" s="553"/>
      <c r="R798" s="553"/>
      <c r="S798" s="553"/>
    </row>
    <row r="799" spans="14:19" ht="27.95" customHeight="1">
      <c r="N799" s="553"/>
      <c r="O799" s="553"/>
      <c r="P799" s="553"/>
      <c r="Q799" s="553"/>
      <c r="R799" s="553"/>
      <c r="S799" s="553"/>
    </row>
    <row r="800" spans="14:19" ht="27.95" customHeight="1">
      <c r="N800" s="553"/>
      <c r="O800" s="553"/>
      <c r="P800" s="553"/>
      <c r="Q800" s="553"/>
      <c r="R800" s="553"/>
      <c r="S800" s="553"/>
    </row>
    <row r="801" spans="14:19" ht="27.95" customHeight="1">
      <c r="N801" s="553"/>
      <c r="O801" s="553"/>
      <c r="P801" s="553"/>
      <c r="Q801" s="553"/>
      <c r="R801" s="553"/>
      <c r="S801" s="553"/>
    </row>
    <row r="802" spans="14:19" ht="27.95" customHeight="1">
      <c r="N802" s="553"/>
      <c r="O802" s="553"/>
      <c r="P802" s="553"/>
      <c r="Q802" s="553"/>
      <c r="R802" s="553"/>
      <c r="S802" s="553"/>
    </row>
    <row r="803" spans="14:19" ht="27.95" customHeight="1">
      <c r="N803" s="553"/>
      <c r="O803" s="553"/>
      <c r="P803" s="553"/>
      <c r="Q803" s="553"/>
      <c r="R803" s="553"/>
      <c r="S803" s="553"/>
    </row>
    <row r="804" spans="14:19" ht="27.95" customHeight="1">
      <c r="N804" s="553"/>
      <c r="O804" s="553"/>
      <c r="P804" s="553"/>
      <c r="Q804" s="553"/>
      <c r="R804" s="553"/>
      <c r="S804" s="553"/>
    </row>
    <row r="805" spans="14:19" ht="27.95" customHeight="1">
      <c r="N805" s="553"/>
      <c r="O805" s="553"/>
      <c r="P805" s="553"/>
      <c r="Q805" s="553"/>
      <c r="R805" s="553"/>
      <c r="S805" s="553"/>
    </row>
    <row r="806" spans="14:19" ht="27.95" customHeight="1">
      <c r="N806" s="553"/>
      <c r="O806" s="553"/>
      <c r="P806" s="553"/>
      <c r="Q806" s="553"/>
      <c r="R806" s="553"/>
      <c r="S806" s="553"/>
    </row>
    <row r="807" spans="14:19" ht="27.95" customHeight="1">
      <c r="N807" s="553"/>
      <c r="O807" s="553"/>
      <c r="P807" s="553"/>
      <c r="Q807" s="553"/>
      <c r="R807" s="553"/>
      <c r="S807" s="553"/>
    </row>
    <row r="808" spans="14:19" ht="27.95" customHeight="1">
      <c r="N808" s="553"/>
      <c r="O808" s="553"/>
      <c r="P808" s="553"/>
      <c r="Q808" s="553"/>
      <c r="R808" s="553"/>
      <c r="S808" s="553"/>
    </row>
    <row r="809" spans="14:19" ht="27.95" customHeight="1">
      <c r="N809" s="553"/>
      <c r="O809" s="553"/>
      <c r="P809" s="553"/>
      <c r="Q809" s="553"/>
      <c r="R809" s="553"/>
      <c r="S809" s="553"/>
    </row>
    <row r="810" spans="14:19" ht="27.95" customHeight="1">
      <c r="N810" s="553"/>
      <c r="O810" s="553"/>
      <c r="P810" s="553"/>
      <c r="Q810" s="553"/>
      <c r="R810" s="553"/>
      <c r="S810" s="553"/>
    </row>
    <row r="811" spans="14:19" ht="27.95" customHeight="1">
      <c r="N811" s="553"/>
      <c r="O811" s="553"/>
      <c r="P811" s="553"/>
      <c r="Q811" s="553"/>
      <c r="R811" s="553"/>
      <c r="S811" s="553"/>
    </row>
    <row r="812" spans="14:19" ht="27.95" customHeight="1">
      <c r="N812" s="553"/>
      <c r="O812" s="553"/>
      <c r="P812" s="553"/>
      <c r="Q812" s="553"/>
      <c r="R812" s="553"/>
      <c r="S812" s="553"/>
    </row>
    <row r="813" spans="14:19" ht="27.95" customHeight="1">
      <c r="N813" s="553"/>
      <c r="O813" s="553"/>
      <c r="P813" s="553"/>
      <c r="Q813" s="553"/>
      <c r="R813" s="553"/>
      <c r="S813" s="553"/>
    </row>
    <row r="814" spans="14:19" ht="27.95" customHeight="1">
      <c r="N814" s="553"/>
      <c r="O814" s="553"/>
      <c r="P814" s="553"/>
      <c r="Q814" s="553"/>
      <c r="R814" s="553"/>
      <c r="S814" s="553"/>
    </row>
    <row r="815" spans="14:19" ht="27.95" customHeight="1">
      <c r="N815" s="553"/>
      <c r="O815" s="553"/>
      <c r="P815" s="553"/>
      <c r="Q815" s="553"/>
      <c r="R815" s="553"/>
      <c r="S815" s="553"/>
    </row>
    <row r="816" spans="14:19" ht="27.95" customHeight="1">
      <c r="N816" s="553"/>
      <c r="O816" s="553"/>
      <c r="P816" s="553"/>
      <c r="Q816" s="553"/>
      <c r="R816" s="553"/>
      <c r="S816" s="553"/>
    </row>
    <row r="817" spans="14:19" ht="27.95" customHeight="1">
      <c r="N817" s="553"/>
      <c r="O817" s="553"/>
      <c r="P817" s="553"/>
      <c r="Q817" s="553"/>
      <c r="R817" s="553"/>
      <c r="S817" s="553"/>
    </row>
    <row r="818" spans="14:19" ht="27.95" customHeight="1">
      <c r="N818" s="553"/>
      <c r="O818" s="553"/>
      <c r="P818" s="553"/>
      <c r="Q818" s="553"/>
      <c r="R818" s="553"/>
      <c r="S818" s="553"/>
    </row>
    <row r="819" spans="14:19" ht="27.95" customHeight="1">
      <c r="N819" s="553"/>
      <c r="O819" s="553"/>
      <c r="P819" s="553"/>
      <c r="Q819" s="553"/>
      <c r="R819" s="553"/>
      <c r="S819" s="553"/>
    </row>
    <row r="820" spans="14:19" ht="27.95" customHeight="1">
      <c r="N820" s="553"/>
      <c r="O820" s="553"/>
      <c r="P820" s="553"/>
      <c r="Q820" s="553"/>
      <c r="R820" s="553"/>
      <c r="S820" s="553"/>
    </row>
    <row r="821" spans="14:19" ht="27.95" customHeight="1">
      <c r="N821" s="553"/>
      <c r="O821" s="553"/>
      <c r="P821" s="553"/>
      <c r="Q821" s="553"/>
      <c r="R821" s="553"/>
      <c r="S821" s="553"/>
    </row>
    <row r="822" spans="14:19" ht="27.95" customHeight="1">
      <c r="N822" s="553"/>
      <c r="O822" s="553"/>
      <c r="P822" s="553"/>
      <c r="Q822" s="553"/>
      <c r="R822" s="553"/>
      <c r="S822" s="553"/>
    </row>
    <row r="823" spans="14:19" ht="27.95" customHeight="1">
      <c r="N823" s="553"/>
      <c r="O823" s="553"/>
      <c r="P823" s="553"/>
      <c r="Q823" s="553"/>
      <c r="R823" s="553"/>
      <c r="S823" s="553"/>
    </row>
    <row r="824" spans="14:19" ht="27.95" customHeight="1">
      <c r="N824" s="553"/>
      <c r="O824" s="553"/>
      <c r="P824" s="553"/>
      <c r="Q824" s="553"/>
      <c r="R824" s="553"/>
      <c r="S824" s="553"/>
    </row>
    <row r="825" spans="14:19" ht="27.95" customHeight="1">
      <c r="N825" s="553"/>
      <c r="O825" s="553"/>
      <c r="P825" s="553"/>
      <c r="Q825" s="553"/>
      <c r="R825" s="553"/>
      <c r="S825" s="553"/>
    </row>
    <row r="826" spans="14:19" ht="27.95" customHeight="1">
      <c r="N826" s="553"/>
      <c r="O826" s="553"/>
      <c r="P826" s="553"/>
      <c r="Q826" s="553"/>
      <c r="R826" s="553"/>
      <c r="S826" s="553"/>
    </row>
    <row r="827" spans="14:19" ht="27.95" customHeight="1">
      <c r="N827" s="553"/>
      <c r="O827" s="553"/>
      <c r="P827" s="553"/>
      <c r="Q827" s="553"/>
      <c r="R827" s="553"/>
      <c r="S827" s="553"/>
    </row>
    <row r="828" spans="14:19" ht="27.95" customHeight="1">
      <c r="N828" s="553"/>
      <c r="O828" s="553"/>
      <c r="P828" s="553"/>
      <c r="Q828" s="553"/>
      <c r="R828" s="553"/>
      <c r="S828" s="553"/>
    </row>
    <row r="829" spans="14:19" ht="27.95" customHeight="1">
      <c r="N829" s="553"/>
      <c r="O829" s="553"/>
      <c r="P829" s="553"/>
      <c r="Q829" s="553"/>
      <c r="R829" s="553"/>
      <c r="S829" s="553"/>
    </row>
    <row r="830" spans="14:19" ht="27.95" customHeight="1">
      <c r="N830" s="553"/>
      <c r="O830" s="553"/>
      <c r="P830" s="553"/>
      <c r="Q830" s="553"/>
      <c r="R830" s="553"/>
      <c r="S830" s="553"/>
    </row>
    <row r="831" spans="14:19" ht="27.95" customHeight="1">
      <c r="N831" s="553"/>
      <c r="O831" s="553"/>
      <c r="P831" s="553"/>
      <c r="Q831" s="553"/>
      <c r="R831" s="553"/>
      <c r="S831" s="553"/>
    </row>
    <row r="832" spans="14:19" ht="27.95" customHeight="1">
      <c r="N832" s="553"/>
      <c r="O832" s="553"/>
      <c r="P832" s="553"/>
      <c r="Q832" s="553"/>
      <c r="R832" s="553"/>
      <c r="S832" s="553"/>
    </row>
    <row r="833" spans="14:19" ht="27.95" customHeight="1">
      <c r="N833" s="553"/>
      <c r="O833" s="553"/>
      <c r="P833" s="553"/>
      <c r="Q833" s="553"/>
      <c r="R833" s="553"/>
      <c r="S833" s="553"/>
    </row>
    <row r="834" spans="14:19" ht="27.95" customHeight="1">
      <c r="N834" s="553"/>
      <c r="O834" s="553"/>
      <c r="P834" s="553"/>
      <c r="Q834" s="553"/>
      <c r="R834" s="553"/>
      <c r="S834" s="553"/>
    </row>
    <row r="835" spans="14:19" ht="27.95" customHeight="1">
      <c r="N835" s="553"/>
      <c r="O835" s="553"/>
      <c r="P835" s="553"/>
      <c r="Q835" s="553"/>
      <c r="R835" s="553"/>
      <c r="S835" s="553"/>
    </row>
    <row r="836" spans="14:19" ht="27.95" customHeight="1">
      <c r="N836" s="553"/>
      <c r="O836" s="553"/>
      <c r="P836" s="553"/>
      <c r="Q836" s="553"/>
      <c r="R836" s="553"/>
      <c r="S836" s="553"/>
    </row>
    <row r="837" spans="14:19" ht="27.95" customHeight="1">
      <c r="N837" s="553"/>
      <c r="O837" s="553"/>
      <c r="P837" s="553"/>
      <c r="Q837" s="553"/>
      <c r="R837" s="553"/>
      <c r="S837" s="553"/>
    </row>
    <row r="838" spans="14:19" ht="27.95" customHeight="1">
      <c r="N838" s="553"/>
      <c r="O838" s="553"/>
      <c r="P838" s="553"/>
      <c r="Q838" s="553"/>
      <c r="R838" s="553"/>
      <c r="S838" s="553"/>
    </row>
    <row r="839" spans="14:19" ht="27.95" customHeight="1">
      <c r="N839" s="553"/>
      <c r="O839" s="553"/>
      <c r="P839" s="553"/>
      <c r="Q839" s="553"/>
      <c r="R839" s="553"/>
      <c r="S839" s="553"/>
    </row>
    <row r="840" spans="14:19" ht="27.95" customHeight="1">
      <c r="N840" s="553"/>
      <c r="O840" s="553"/>
      <c r="P840" s="553"/>
      <c r="Q840" s="553"/>
      <c r="R840" s="553"/>
      <c r="S840" s="553"/>
    </row>
    <row r="841" spans="14:19" ht="27.95" customHeight="1">
      <c r="N841" s="553"/>
      <c r="O841" s="553"/>
      <c r="P841" s="553"/>
      <c r="Q841" s="553"/>
      <c r="R841" s="553"/>
      <c r="S841" s="553"/>
    </row>
    <row r="842" spans="14:19" ht="27.95" customHeight="1">
      <c r="N842" s="553"/>
      <c r="O842" s="553"/>
      <c r="P842" s="553"/>
      <c r="Q842" s="553"/>
      <c r="R842" s="553"/>
      <c r="S842" s="553"/>
    </row>
    <row r="843" spans="14:19" ht="27.95" customHeight="1">
      <c r="N843" s="553"/>
      <c r="O843" s="553"/>
      <c r="P843" s="553"/>
      <c r="Q843" s="553"/>
      <c r="R843" s="553"/>
      <c r="S843" s="553"/>
    </row>
    <row r="844" spans="14:19" ht="27.95" customHeight="1">
      <c r="N844" s="553"/>
      <c r="O844" s="553"/>
      <c r="P844" s="553"/>
      <c r="Q844" s="553"/>
      <c r="R844" s="553"/>
      <c r="S844" s="553"/>
    </row>
    <row r="845" spans="14:19" ht="27.95" customHeight="1">
      <c r="N845" s="553"/>
      <c r="O845" s="553"/>
      <c r="P845" s="553"/>
      <c r="Q845" s="553"/>
      <c r="R845" s="553"/>
      <c r="S845" s="553"/>
    </row>
    <row r="846" spans="14:19" ht="27.95" customHeight="1">
      <c r="N846" s="553"/>
      <c r="O846" s="553"/>
      <c r="P846" s="553"/>
      <c r="Q846" s="553"/>
      <c r="R846" s="553"/>
      <c r="S846" s="553"/>
    </row>
    <row r="847" spans="14:19" ht="27.95" customHeight="1">
      <c r="N847" s="553"/>
      <c r="O847" s="553"/>
      <c r="P847" s="553"/>
      <c r="Q847" s="553"/>
      <c r="R847" s="553"/>
      <c r="S847" s="553"/>
    </row>
    <row r="848" spans="14:19" ht="27.95" customHeight="1">
      <c r="N848" s="553"/>
      <c r="O848" s="553"/>
      <c r="P848" s="553"/>
      <c r="Q848" s="553"/>
      <c r="R848" s="553"/>
      <c r="S848" s="553"/>
    </row>
    <row r="849" spans="14:19" ht="27.95" customHeight="1">
      <c r="N849" s="553"/>
      <c r="O849" s="553"/>
      <c r="P849" s="553"/>
      <c r="Q849" s="553"/>
      <c r="R849" s="553"/>
      <c r="S849" s="553"/>
    </row>
    <row r="850" spans="14:19" ht="27.95" customHeight="1">
      <c r="N850" s="553"/>
      <c r="O850" s="553"/>
      <c r="P850" s="553"/>
      <c r="Q850" s="553"/>
      <c r="R850" s="553"/>
      <c r="S850" s="553"/>
    </row>
    <row r="851" spans="14:19" ht="27.95" customHeight="1">
      <c r="N851" s="553"/>
      <c r="O851" s="553"/>
      <c r="P851" s="553"/>
      <c r="Q851" s="553"/>
      <c r="R851" s="553"/>
      <c r="S851" s="553"/>
    </row>
    <row r="852" spans="14:19" ht="27.95" customHeight="1">
      <c r="N852" s="553"/>
      <c r="O852" s="553"/>
      <c r="P852" s="553"/>
      <c r="Q852" s="553"/>
      <c r="R852" s="553"/>
      <c r="S852" s="553"/>
    </row>
    <row r="853" spans="14:19" ht="27.95" customHeight="1">
      <c r="N853" s="553"/>
      <c r="O853" s="553"/>
      <c r="P853" s="553"/>
      <c r="Q853" s="553"/>
      <c r="R853" s="553"/>
      <c r="S853" s="553"/>
    </row>
    <row r="854" spans="14:19" ht="27.95" customHeight="1">
      <c r="N854" s="553"/>
      <c r="O854" s="553"/>
      <c r="P854" s="553"/>
      <c r="Q854" s="553"/>
      <c r="R854" s="553"/>
      <c r="S854" s="553"/>
    </row>
    <row r="855" spans="14:19" ht="27.95" customHeight="1">
      <c r="N855" s="553"/>
      <c r="O855" s="553"/>
      <c r="P855" s="553"/>
      <c r="Q855" s="553"/>
      <c r="R855" s="553"/>
      <c r="S855" s="553"/>
    </row>
    <row r="856" spans="14:19" ht="27.95" customHeight="1">
      <c r="N856" s="553"/>
      <c r="O856" s="553"/>
      <c r="P856" s="553"/>
      <c r="Q856" s="553"/>
      <c r="R856" s="553"/>
      <c r="S856" s="553"/>
    </row>
    <row r="857" spans="14:19" ht="27.95" customHeight="1">
      <c r="N857" s="553"/>
      <c r="O857" s="553"/>
      <c r="P857" s="553"/>
      <c r="Q857" s="553"/>
      <c r="R857" s="553"/>
      <c r="S857" s="553"/>
    </row>
    <row r="858" spans="14:19" ht="27.95" customHeight="1">
      <c r="N858" s="553"/>
      <c r="O858" s="553"/>
      <c r="P858" s="553"/>
      <c r="Q858" s="553"/>
      <c r="R858" s="553"/>
      <c r="S858" s="553"/>
    </row>
    <row r="859" spans="14:19" ht="27.95" customHeight="1">
      <c r="N859" s="553"/>
      <c r="O859" s="553"/>
      <c r="P859" s="553"/>
      <c r="Q859" s="553"/>
      <c r="R859" s="553"/>
      <c r="S859" s="553"/>
    </row>
    <row r="860" spans="14:19" ht="27.95" customHeight="1">
      <c r="N860" s="553"/>
      <c r="O860" s="553"/>
      <c r="P860" s="553"/>
      <c r="Q860" s="553"/>
      <c r="R860" s="553"/>
      <c r="S860" s="553"/>
    </row>
    <row r="861" spans="14:19" ht="27.95" customHeight="1">
      <c r="N861" s="553"/>
      <c r="O861" s="553"/>
      <c r="P861" s="553"/>
      <c r="Q861" s="553"/>
      <c r="R861" s="553"/>
      <c r="S861" s="553"/>
    </row>
    <row r="862" spans="14:19" ht="27.95" customHeight="1">
      <c r="N862" s="553"/>
      <c r="O862" s="553"/>
      <c r="P862" s="553"/>
      <c r="Q862" s="553"/>
      <c r="R862" s="553"/>
      <c r="S862" s="553"/>
    </row>
    <row r="863" spans="14:19" ht="27.95" customHeight="1">
      <c r="N863" s="553"/>
      <c r="O863" s="553"/>
      <c r="P863" s="553"/>
      <c r="Q863" s="553"/>
      <c r="R863" s="553"/>
      <c r="S863" s="553"/>
    </row>
    <row r="864" spans="14:19" ht="27.95" customHeight="1">
      <c r="N864" s="553"/>
      <c r="O864" s="553"/>
      <c r="P864" s="553"/>
      <c r="Q864" s="553"/>
      <c r="R864" s="553"/>
      <c r="S864" s="553"/>
    </row>
    <row r="865" spans="14:19" ht="27.95" customHeight="1">
      <c r="N865" s="553"/>
      <c r="O865" s="553"/>
      <c r="P865" s="553"/>
      <c r="Q865" s="553"/>
      <c r="R865" s="553"/>
      <c r="S865" s="553"/>
    </row>
    <row r="866" spans="14:19" ht="27.95" customHeight="1">
      <c r="N866" s="553"/>
      <c r="O866" s="553"/>
      <c r="P866" s="553"/>
      <c r="Q866" s="553"/>
      <c r="R866" s="553"/>
      <c r="S866" s="553"/>
    </row>
    <row r="867" spans="14:19" ht="27.95" customHeight="1">
      <c r="N867" s="553"/>
      <c r="O867" s="553"/>
      <c r="P867" s="553"/>
      <c r="Q867" s="553"/>
      <c r="R867" s="553"/>
      <c r="S867" s="553"/>
    </row>
    <row r="868" spans="14:19" ht="27.95" customHeight="1">
      <c r="N868" s="553"/>
      <c r="O868" s="553"/>
      <c r="P868" s="553"/>
      <c r="Q868" s="553"/>
      <c r="R868" s="553"/>
      <c r="S868" s="553"/>
    </row>
    <row r="869" spans="14:19" ht="27.95" customHeight="1">
      <c r="N869" s="553"/>
      <c r="O869" s="553"/>
      <c r="P869" s="553"/>
      <c r="Q869" s="553"/>
      <c r="R869" s="553"/>
      <c r="S869" s="553"/>
    </row>
    <row r="870" spans="14:19" ht="27.95" customHeight="1">
      <c r="N870" s="553"/>
      <c r="O870" s="553"/>
      <c r="P870" s="553"/>
      <c r="Q870" s="553"/>
      <c r="R870" s="553"/>
      <c r="S870" s="553"/>
    </row>
    <row r="871" spans="14:19" ht="27.95" customHeight="1">
      <c r="N871" s="553"/>
      <c r="O871" s="553"/>
      <c r="P871" s="553"/>
      <c r="Q871" s="553"/>
      <c r="R871" s="553"/>
      <c r="S871" s="553"/>
    </row>
    <row r="872" spans="14:19" ht="27.95" customHeight="1">
      <c r="N872" s="553"/>
      <c r="O872" s="553"/>
      <c r="P872" s="553"/>
      <c r="Q872" s="553"/>
      <c r="R872" s="553"/>
      <c r="S872" s="553"/>
    </row>
    <row r="873" spans="14:19" ht="27.95" customHeight="1">
      <c r="N873" s="553"/>
      <c r="O873" s="553"/>
      <c r="P873" s="553"/>
      <c r="Q873" s="553"/>
      <c r="R873" s="553"/>
      <c r="S873" s="553"/>
    </row>
    <row r="874" spans="14:19" ht="27.95" customHeight="1">
      <c r="N874" s="553"/>
      <c r="O874" s="553"/>
      <c r="P874" s="553"/>
      <c r="Q874" s="553"/>
      <c r="R874" s="553"/>
      <c r="S874" s="553"/>
    </row>
    <row r="875" spans="14:19" ht="27.95" customHeight="1">
      <c r="N875" s="553"/>
      <c r="O875" s="553"/>
      <c r="P875" s="553"/>
      <c r="Q875" s="553"/>
      <c r="R875" s="553"/>
      <c r="S875" s="553"/>
    </row>
    <row r="876" spans="14:19" ht="27.95" customHeight="1">
      <c r="N876" s="553"/>
      <c r="O876" s="553"/>
      <c r="P876" s="553"/>
      <c r="Q876" s="553"/>
      <c r="R876" s="553"/>
      <c r="S876" s="553"/>
    </row>
    <row r="877" spans="14:19" ht="27.95" customHeight="1">
      <c r="N877" s="553"/>
      <c r="O877" s="553"/>
      <c r="P877" s="553"/>
      <c r="Q877" s="553"/>
      <c r="R877" s="553"/>
      <c r="S877" s="553"/>
    </row>
    <row r="878" spans="14:19" ht="27.95" customHeight="1">
      <c r="N878" s="553"/>
      <c r="O878" s="553"/>
      <c r="P878" s="553"/>
      <c r="Q878" s="553"/>
      <c r="R878" s="553"/>
      <c r="S878" s="553"/>
    </row>
    <row r="879" spans="14:19" ht="27.95" customHeight="1">
      <c r="N879" s="553"/>
      <c r="O879" s="553"/>
      <c r="P879" s="553"/>
      <c r="Q879" s="553"/>
      <c r="R879" s="553"/>
      <c r="S879" s="553"/>
    </row>
    <row r="880" spans="14:19" ht="27.95" customHeight="1">
      <c r="N880" s="553"/>
      <c r="O880" s="553"/>
      <c r="P880" s="553"/>
      <c r="Q880" s="553"/>
      <c r="R880" s="553"/>
      <c r="S880" s="553"/>
    </row>
    <row r="881" spans="14:19" ht="27.95" customHeight="1">
      <c r="N881" s="553"/>
      <c r="O881" s="553"/>
      <c r="P881" s="553"/>
      <c r="Q881" s="553"/>
      <c r="R881" s="553"/>
      <c r="S881" s="553"/>
    </row>
    <row r="882" spans="14:19" ht="27.95" customHeight="1">
      <c r="N882" s="553"/>
      <c r="O882" s="553"/>
      <c r="P882" s="553"/>
      <c r="Q882" s="553"/>
      <c r="R882" s="553"/>
      <c r="S882" s="553"/>
    </row>
    <row r="883" spans="14:19" ht="27.95" customHeight="1">
      <c r="N883" s="553"/>
      <c r="O883" s="553"/>
      <c r="P883" s="553"/>
      <c r="Q883" s="553"/>
      <c r="R883" s="553"/>
      <c r="S883" s="553"/>
    </row>
    <row r="884" spans="14:19" ht="27.95" customHeight="1">
      <c r="N884" s="553"/>
      <c r="O884" s="553"/>
      <c r="P884" s="553"/>
      <c r="Q884" s="553"/>
      <c r="R884" s="553"/>
      <c r="S884" s="553"/>
    </row>
    <row r="885" spans="14:19" ht="27.95" customHeight="1">
      <c r="N885" s="553"/>
      <c r="O885" s="553"/>
      <c r="P885" s="553"/>
      <c r="Q885" s="553"/>
      <c r="R885" s="553"/>
      <c r="S885" s="553"/>
    </row>
    <row r="886" spans="14:19" ht="27.95" customHeight="1">
      <c r="N886" s="553"/>
      <c r="O886" s="553"/>
      <c r="P886" s="553"/>
      <c r="Q886" s="553"/>
      <c r="R886" s="553"/>
      <c r="S886" s="553"/>
    </row>
    <row r="887" spans="14:19" ht="27.95" customHeight="1">
      <c r="N887" s="553"/>
      <c r="O887" s="553"/>
      <c r="P887" s="553"/>
      <c r="Q887" s="553"/>
      <c r="R887" s="553"/>
      <c r="S887" s="553"/>
    </row>
    <row r="888" spans="14:19" ht="27.95" customHeight="1">
      <c r="N888" s="553"/>
      <c r="O888" s="553"/>
      <c r="P888" s="553"/>
      <c r="Q888" s="553"/>
      <c r="R888" s="553"/>
      <c r="S888" s="553"/>
    </row>
    <row r="889" spans="14:19" ht="27.95" customHeight="1">
      <c r="N889" s="553"/>
      <c r="O889" s="553"/>
      <c r="P889" s="553"/>
      <c r="Q889" s="553"/>
      <c r="R889" s="553"/>
      <c r="S889" s="553"/>
    </row>
    <row r="890" spans="14:19" ht="27.95" customHeight="1">
      <c r="N890" s="553"/>
      <c r="O890" s="553"/>
      <c r="P890" s="553"/>
      <c r="Q890" s="553"/>
      <c r="R890" s="553"/>
      <c r="S890" s="553"/>
    </row>
    <row r="891" spans="14:19" ht="27.95" customHeight="1">
      <c r="N891" s="553"/>
      <c r="O891" s="553"/>
      <c r="P891" s="553"/>
      <c r="Q891" s="553"/>
      <c r="R891" s="553"/>
      <c r="S891" s="553"/>
    </row>
    <row r="892" spans="14:19" ht="27.95" customHeight="1">
      <c r="N892" s="553"/>
      <c r="O892" s="553"/>
      <c r="P892" s="553"/>
      <c r="Q892" s="553"/>
      <c r="R892" s="553"/>
      <c r="S892" s="553"/>
    </row>
    <row r="893" spans="14:19" ht="27.95" customHeight="1">
      <c r="N893" s="553"/>
      <c r="O893" s="553"/>
      <c r="P893" s="553"/>
      <c r="Q893" s="553"/>
      <c r="R893" s="553"/>
      <c r="S893" s="553"/>
    </row>
    <row r="894" spans="14:19" ht="27.95" customHeight="1">
      <c r="N894" s="553"/>
      <c r="O894" s="553"/>
      <c r="P894" s="553"/>
      <c r="Q894" s="553"/>
      <c r="R894" s="553"/>
      <c r="S894" s="553"/>
    </row>
    <row r="895" spans="14:19" ht="27.95" customHeight="1">
      <c r="N895" s="553"/>
      <c r="O895" s="553"/>
      <c r="P895" s="553"/>
      <c r="Q895" s="553"/>
      <c r="R895" s="553"/>
      <c r="S895" s="553"/>
    </row>
    <row r="896" spans="14:19" ht="27.95" customHeight="1">
      <c r="N896" s="553"/>
      <c r="O896" s="553"/>
      <c r="P896" s="553"/>
      <c r="Q896" s="553"/>
      <c r="R896" s="553"/>
      <c r="S896" s="553"/>
    </row>
    <row r="897" spans="14:19" ht="27.95" customHeight="1">
      <c r="N897" s="553"/>
      <c r="O897" s="553"/>
      <c r="P897" s="553"/>
      <c r="Q897" s="553"/>
      <c r="R897" s="553"/>
      <c r="S897" s="553"/>
    </row>
    <row r="898" spans="14:19" ht="27.95" customHeight="1">
      <c r="N898" s="553"/>
      <c r="O898" s="553"/>
      <c r="P898" s="553"/>
      <c r="Q898" s="553"/>
      <c r="R898" s="553"/>
      <c r="S898" s="553"/>
    </row>
    <row r="899" spans="14:19" ht="27.95" customHeight="1">
      <c r="N899" s="553"/>
      <c r="O899" s="553"/>
      <c r="P899" s="553"/>
      <c r="Q899" s="553"/>
      <c r="R899" s="553"/>
      <c r="S899" s="553"/>
    </row>
    <row r="900" spans="14:19" ht="27.95" customHeight="1">
      <c r="N900" s="553"/>
      <c r="O900" s="553"/>
      <c r="P900" s="553"/>
      <c r="Q900" s="553"/>
      <c r="R900" s="553"/>
      <c r="S900" s="553"/>
    </row>
    <row r="901" spans="14:19" ht="27.95" customHeight="1">
      <c r="N901" s="553"/>
      <c r="O901" s="553"/>
      <c r="P901" s="553"/>
      <c r="Q901" s="553"/>
      <c r="R901" s="553"/>
      <c r="S901" s="553"/>
    </row>
    <row r="902" spans="14:19" ht="27.95" customHeight="1">
      <c r="N902" s="553"/>
      <c r="O902" s="553"/>
      <c r="P902" s="553"/>
      <c r="Q902" s="553"/>
      <c r="R902" s="553"/>
      <c r="S902" s="553"/>
    </row>
    <row r="903" spans="14:19" ht="27.95" customHeight="1">
      <c r="N903" s="553"/>
      <c r="O903" s="553"/>
      <c r="P903" s="553"/>
      <c r="Q903" s="553"/>
      <c r="R903" s="553"/>
      <c r="S903" s="553"/>
    </row>
    <row r="904" spans="14:19" ht="27.95" customHeight="1">
      <c r="N904" s="553"/>
      <c r="O904" s="553"/>
      <c r="P904" s="553"/>
      <c r="Q904" s="553"/>
      <c r="R904" s="553"/>
      <c r="S904" s="553"/>
    </row>
    <row r="905" spans="14:19" ht="27.95" customHeight="1">
      <c r="N905" s="553"/>
      <c r="O905" s="553"/>
      <c r="P905" s="553"/>
      <c r="Q905" s="553"/>
      <c r="R905" s="553"/>
      <c r="S905" s="553"/>
    </row>
    <row r="906" spans="14:19" ht="27.95" customHeight="1">
      <c r="N906" s="553"/>
      <c r="O906" s="553"/>
      <c r="P906" s="553"/>
      <c r="Q906" s="553"/>
      <c r="R906" s="553"/>
      <c r="S906" s="553"/>
    </row>
    <row r="907" spans="14:19" ht="27.95" customHeight="1">
      <c r="N907" s="553"/>
      <c r="O907" s="553"/>
      <c r="P907" s="553"/>
      <c r="Q907" s="553"/>
      <c r="R907" s="553"/>
      <c r="S907" s="553"/>
    </row>
    <row r="908" spans="14:19" ht="27.95" customHeight="1">
      <c r="N908" s="553"/>
      <c r="O908" s="553"/>
      <c r="P908" s="553"/>
      <c r="Q908" s="553"/>
      <c r="R908" s="553"/>
      <c r="S908" s="553"/>
    </row>
    <row r="909" spans="14:19" ht="27.95" customHeight="1">
      <c r="N909" s="553"/>
      <c r="O909" s="553"/>
      <c r="P909" s="553"/>
      <c r="Q909" s="553"/>
      <c r="R909" s="553"/>
      <c r="S909" s="553"/>
    </row>
    <row r="910" spans="14:19" ht="27.95" customHeight="1">
      <c r="N910" s="553"/>
      <c r="O910" s="553"/>
      <c r="P910" s="553"/>
      <c r="Q910" s="553"/>
      <c r="R910" s="553"/>
      <c r="S910" s="553"/>
    </row>
    <row r="911" spans="14:19" ht="27.95" customHeight="1">
      <c r="N911" s="553"/>
      <c r="O911" s="553"/>
      <c r="P911" s="553"/>
      <c r="Q911" s="553"/>
      <c r="R911" s="553"/>
      <c r="S911" s="553"/>
    </row>
    <row r="912" spans="14:19" ht="27.95" customHeight="1">
      <c r="N912" s="553"/>
      <c r="O912" s="553"/>
      <c r="P912" s="553"/>
      <c r="Q912" s="553"/>
      <c r="R912" s="553"/>
      <c r="S912" s="553"/>
    </row>
    <row r="913" spans="14:19" ht="27.95" customHeight="1">
      <c r="N913" s="553"/>
      <c r="O913" s="553"/>
      <c r="P913" s="553"/>
      <c r="Q913" s="553"/>
      <c r="R913" s="553"/>
      <c r="S913" s="553"/>
    </row>
    <row r="914" spans="14:19" ht="27.95" customHeight="1">
      <c r="N914" s="553"/>
      <c r="O914" s="553"/>
      <c r="P914" s="553"/>
      <c r="Q914" s="553"/>
      <c r="R914" s="553"/>
      <c r="S914" s="553"/>
    </row>
    <row r="915" spans="14:19" ht="27.95" customHeight="1">
      <c r="N915" s="553"/>
      <c r="O915" s="553"/>
      <c r="P915" s="553"/>
      <c r="Q915" s="553"/>
      <c r="R915" s="553"/>
      <c r="S915" s="553"/>
    </row>
    <row r="916" spans="14:19" ht="27.95" customHeight="1">
      <c r="N916" s="553"/>
      <c r="O916" s="553"/>
      <c r="P916" s="553"/>
      <c r="Q916" s="553"/>
      <c r="R916" s="553"/>
      <c r="S916" s="553"/>
    </row>
    <row r="917" spans="14:19" ht="27.95" customHeight="1">
      <c r="N917" s="553"/>
      <c r="O917" s="553"/>
      <c r="P917" s="553"/>
      <c r="Q917" s="553"/>
      <c r="R917" s="553"/>
      <c r="S917" s="553"/>
    </row>
    <row r="918" spans="14:19" ht="27.95" customHeight="1">
      <c r="N918" s="553"/>
      <c r="O918" s="553"/>
      <c r="P918" s="553"/>
      <c r="Q918" s="553"/>
      <c r="R918" s="553"/>
      <c r="S918" s="553"/>
    </row>
    <row r="919" spans="14:19" ht="27.95" customHeight="1">
      <c r="N919" s="553"/>
      <c r="O919" s="553"/>
      <c r="P919" s="553"/>
      <c r="Q919" s="553"/>
      <c r="R919" s="553"/>
      <c r="S919" s="553"/>
    </row>
    <row r="920" spans="14:19" ht="27.95" customHeight="1">
      <c r="N920" s="553"/>
      <c r="O920" s="553"/>
      <c r="P920" s="553"/>
      <c r="Q920" s="553"/>
      <c r="R920" s="553"/>
      <c r="S920" s="553"/>
    </row>
    <row r="921" spans="14:19" ht="27.95" customHeight="1">
      <c r="N921" s="553"/>
      <c r="O921" s="553"/>
      <c r="P921" s="553"/>
      <c r="Q921" s="553"/>
      <c r="R921" s="553"/>
      <c r="S921" s="553"/>
    </row>
    <row r="922" spans="14:19" ht="27.95" customHeight="1">
      <c r="N922" s="553"/>
      <c r="O922" s="553"/>
      <c r="P922" s="553"/>
      <c r="Q922" s="553"/>
      <c r="R922" s="553"/>
      <c r="S922" s="553"/>
    </row>
    <row r="923" spans="14:19" ht="27.95" customHeight="1">
      <c r="N923" s="553"/>
      <c r="O923" s="553"/>
      <c r="P923" s="553"/>
      <c r="Q923" s="553"/>
      <c r="R923" s="553"/>
      <c r="S923" s="553"/>
    </row>
    <row r="924" spans="14:19" ht="27.95" customHeight="1">
      <c r="N924" s="553"/>
      <c r="O924" s="553"/>
      <c r="P924" s="553"/>
      <c r="Q924" s="553"/>
      <c r="R924" s="553"/>
      <c r="S924" s="553"/>
    </row>
    <row r="925" spans="14:19" ht="27.95" customHeight="1">
      <c r="N925" s="553"/>
      <c r="O925" s="553"/>
      <c r="P925" s="553"/>
      <c r="Q925" s="553"/>
      <c r="R925" s="553"/>
      <c r="S925" s="553"/>
    </row>
    <row r="926" spans="14:19" ht="27.95" customHeight="1">
      <c r="N926" s="553"/>
      <c r="O926" s="553"/>
      <c r="P926" s="553"/>
      <c r="Q926" s="553"/>
      <c r="R926" s="553"/>
      <c r="S926" s="553"/>
    </row>
    <row r="927" spans="14:19" ht="27.95" customHeight="1">
      <c r="N927" s="553"/>
      <c r="O927" s="553"/>
      <c r="P927" s="553"/>
      <c r="Q927" s="553"/>
      <c r="R927" s="553"/>
      <c r="S927" s="553"/>
    </row>
    <row r="928" spans="14:19" ht="27.95" customHeight="1">
      <c r="N928" s="553"/>
      <c r="O928" s="553"/>
      <c r="P928" s="553"/>
      <c r="Q928" s="553"/>
      <c r="R928" s="553"/>
      <c r="S928" s="553"/>
    </row>
    <row r="929" spans="14:19" ht="27.95" customHeight="1">
      <c r="N929" s="553"/>
      <c r="O929" s="553"/>
      <c r="P929" s="553"/>
      <c r="Q929" s="553"/>
      <c r="R929" s="553"/>
      <c r="S929" s="553"/>
    </row>
    <row r="930" spans="14:19" ht="27.95" customHeight="1">
      <c r="N930" s="553"/>
      <c r="O930" s="553"/>
      <c r="P930" s="553"/>
      <c r="Q930" s="553"/>
      <c r="R930" s="553"/>
      <c r="S930" s="553"/>
    </row>
    <row r="931" spans="14:19" ht="27.95" customHeight="1">
      <c r="N931" s="553"/>
      <c r="O931" s="553"/>
      <c r="P931" s="553"/>
      <c r="Q931" s="553"/>
      <c r="R931" s="553"/>
      <c r="S931" s="553"/>
    </row>
    <row r="932" spans="14:19" ht="27.95" customHeight="1">
      <c r="N932" s="553"/>
      <c r="O932" s="553"/>
      <c r="P932" s="553"/>
      <c r="Q932" s="553"/>
      <c r="R932" s="553"/>
      <c r="S932" s="553"/>
    </row>
    <row r="933" spans="14:19" ht="27.95" customHeight="1">
      <c r="N933" s="553"/>
      <c r="O933" s="553"/>
      <c r="P933" s="553"/>
      <c r="Q933" s="553"/>
      <c r="R933" s="553"/>
      <c r="S933" s="553"/>
    </row>
    <row r="934" spans="14:19" ht="27.95" customHeight="1">
      <c r="N934" s="553"/>
      <c r="O934" s="553"/>
      <c r="P934" s="553"/>
      <c r="Q934" s="553"/>
      <c r="R934" s="553"/>
      <c r="S934" s="553"/>
    </row>
    <row r="935" spans="14:19" ht="27.95" customHeight="1">
      <c r="N935" s="553"/>
      <c r="O935" s="553"/>
      <c r="P935" s="553"/>
      <c r="Q935" s="553"/>
      <c r="R935" s="553"/>
      <c r="S935" s="553"/>
    </row>
    <row r="936" spans="14:19" ht="27.95" customHeight="1">
      <c r="N936" s="553"/>
      <c r="O936" s="553"/>
      <c r="P936" s="553"/>
      <c r="Q936" s="553"/>
      <c r="R936" s="553"/>
      <c r="S936" s="553"/>
    </row>
    <row r="937" spans="14:19" ht="27.95" customHeight="1">
      <c r="N937" s="553"/>
      <c r="O937" s="553"/>
      <c r="P937" s="553"/>
      <c r="Q937" s="553"/>
      <c r="R937" s="553"/>
      <c r="S937" s="553"/>
    </row>
    <row r="938" spans="14:19" ht="27.95" customHeight="1">
      <c r="N938" s="553"/>
      <c r="O938" s="553"/>
      <c r="P938" s="553"/>
      <c r="Q938" s="553"/>
      <c r="R938" s="553"/>
      <c r="S938" s="553"/>
    </row>
    <row r="939" spans="14:19" ht="27.95" customHeight="1">
      <c r="N939" s="553"/>
      <c r="O939" s="553"/>
      <c r="P939" s="553"/>
      <c r="Q939" s="553"/>
      <c r="R939" s="553"/>
      <c r="S939" s="553"/>
    </row>
    <row r="940" spans="14:19" ht="27.95" customHeight="1">
      <c r="N940" s="553"/>
      <c r="O940" s="553"/>
      <c r="P940" s="553"/>
      <c r="Q940" s="553"/>
      <c r="R940" s="553"/>
      <c r="S940" s="553"/>
    </row>
    <row r="941" spans="14:19" ht="27.95" customHeight="1">
      <c r="N941" s="553"/>
      <c r="O941" s="553"/>
      <c r="P941" s="553"/>
      <c r="Q941" s="553"/>
      <c r="R941" s="553"/>
      <c r="S941" s="553"/>
    </row>
    <row r="942" spans="14:19" ht="27.95" customHeight="1">
      <c r="N942" s="553"/>
      <c r="O942" s="553"/>
      <c r="P942" s="553"/>
      <c r="Q942" s="553"/>
      <c r="R942" s="553"/>
      <c r="S942" s="553"/>
    </row>
    <row r="943" spans="14:19" ht="27.95" customHeight="1">
      <c r="N943" s="553"/>
      <c r="O943" s="553"/>
      <c r="P943" s="553"/>
      <c r="Q943" s="553"/>
      <c r="R943" s="553"/>
      <c r="S943" s="553"/>
    </row>
    <row r="944" spans="14:19" ht="27.95" customHeight="1">
      <c r="N944" s="553"/>
      <c r="O944" s="553"/>
      <c r="P944" s="553"/>
      <c r="Q944" s="553"/>
      <c r="R944" s="553"/>
      <c r="S944" s="553"/>
    </row>
    <row r="945" spans="14:19" ht="27.95" customHeight="1">
      <c r="N945" s="553"/>
      <c r="O945" s="553"/>
      <c r="P945" s="553"/>
      <c r="Q945" s="553"/>
      <c r="R945" s="553"/>
      <c r="S945" s="553"/>
    </row>
    <row r="946" spans="14:19" ht="27.95" customHeight="1">
      <c r="N946" s="553"/>
      <c r="O946" s="553"/>
      <c r="P946" s="553"/>
      <c r="Q946" s="553"/>
      <c r="R946" s="553"/>
      <c r="S946" s="553"/>
    </row>
    <row r="947" spans="14:19" ht="27.95" customHeight="1">
      <c r="N947" s="553"/>
      <c r="O947" s="553"/>
      <c r="P947" s="553"/>
      <c r="Q947" s="553"/>
      <c r="R947" s="553"/>
      <c r="S947" s="553"/>
    </row>
    <row r="948" spans="14:19" ht="27.95" customHeight="1">
      <c r="N948" s="553"/>
      <c r="O948" s="553"/>
      <c r="P948" s="553"/>
      <c r="Q948" s="553"/>
      <c r="R948" s="553"/>
      <c r="S948" s="553"/>
    </row>
    <row r="949" spans="14:19" ht="27.95" customHeight="1">
      <c r="N949" s="553"/>
      <c r="O949" s="553"/>
      <c r="P949" s="553"/>
      <c r="Q949" s="553"/>
      <c r="R949" s="553"/>
      <c r="S949" s="553"/>
    </row>
    <row r="950" spans="14:19" ht="27.95" customHeight="1">
      <c r="N950" s="553"/>
      <c r="O950" s="553"/>
      <c r="P950" s="553"/>
      <c r="Q950" s="553"/>
      <c r="R950" s="553"/>
      <c r="S950" s="553"/>
    </row>
    <row r="951" spans="14:19" ht="27.95" customHeight="1">
      <c r="N951" s="553"/>
      <c r="O951" s="553"/>
      <c r="P951" s="553"/>
      <c r="Q951" s="553"/>
      <c r="R951" s="553"/>
      <c r="S951" s="553"/>
    </row>
    <row r="952" spans="14:19" ht="27.95" customHeight="1">
      <c r="N952" s="553"/>
      <c r="O952" s="553"/>
      <c r="P952" s="553"/>
      <c r="Q952" s="553"/>
      <c r="R952" s="553"/>
      <c r="S952" s="553"/>
    </row>
    <row r="953" spans="14:19" ht="27.95" customHeight="1">
      <c r="N953" s="553"/>
      <c r="O953" s="553"/>
      <c r="P953" s="553"/>
      <c r="Q953" s="553"/>
      <c r="R953" s="553"/>
      <c r="S953" s="553"/>
    </row>
    <row r="954" spans="14:19" ht="27.95" customHeight="1">
      <c r="N954" s="553"/>
      <c r="O954" s="553"/>
      <c r="P954" s="553"/>
      <c r="Q954" s="553"/>
      <c r="R954" s="553"/>
      <c r="S954" s="553"/>
    </row>
    <row r="955" spans="14:19" ht="27.95" customHeight="1">
      <c r="N955" s="553"/>
      <c r="O955" s="553"/>
      <c r="P955" s="553"/>
      <c r="Q955" s="553"/>
      <c r="R955" s="553"/>
      <c r="S955" s="553"/>
    </row>
    <row r="956" spans="14:19" ht="27.95" customHeight="1">
      <c r="N956" s="553"/>
      <c r="O956" s="553"/>
      <c r="P956" s="553"/>
      <c r="Q956" s="553"/>
      <c r="R956" s="553"/>
      <c r="S956" s="553"/>
    </row>
    <row r="957" spans="14:19" ht="27.95" customHeight="1">
      <c r="N957" s="553"/>
      <c r="O957" s="553"/>
      <c r="P957" s="553"/>
      <c r="Q957" s="553"/>
      <c r="R957" s="553"/>
      <c r="S957" s="553"/>
    </row>
    <row r="958" spans="14:19" ht="27.95" customHeight="1">
      <c r="N958" s="553"/>
      <c r="O958" s="553"/>
      <c r="P958" s="553"/>
      <c r="Q958" s="553"/>
      <c r="R958" s="553"/>
      <c r="S958" s="553"/>
    </row>
    <row r="959" spans="14:19" ht="27.95" customHeight="1">
      <c r="N959" s="553"/>
      <c r="O959" s="553"/>
      <c r="P959" s="553"/>
      <c r="Q959" s="553"/>
      <c r="R959" s="553"/>
      <c r="S959" s="553"/>
    </row>
    <row r="960" spans="14:19" ht="27.95" customHeight="1">
      <c r="N960" s="553"/>
      <c r="O960" s="553"/>
      <c r="P960" s="553"/>
      <c r="Q960" s="553"/>
      <c r="R960" s="553"/>
      <c r="S960" s="553"/>
    </row>
    <row r="961" spans="14:19" ht="27.95" customHeight="1">
      <c r="N961" s="553"/>
      <c r="O961" s="553"/>
      <c r="P961" s="553"/>
      <c r="Q961" s="553"/>
      <c r="R961" s="553"/>
      <c r="S961" s="553"/>
    </row>
    <row r="962" spans="14:19" ht="27.95" customHeight="1">
      <c r="N962" s="553"/>
      <c r="O962" s="553"/>
      <c r="P962" s="553"/>
      <c r="Q962" s="553"/>
      <c r="R962" s="553"/>
      <c r="S962" s="553"/>
    </row>
    <row r="963" spans="14:19" ht="27.95" customHeight="1">
      <c r="N963" s="553"/>
      <c r="O963" s="553"/>
      <c r="P963" s="553"/>
      <c r="Q963" s="553"/>
      <c r="R963" s="553"/>
      <c r="S963" s="553"/>
    </row>
    <row r="964" spans="14:19" ht="27.95" customHeight="1">
      <c r="N964" s="553"/>
      <c r="O964" s="553"/>
      <c r="P964" s="553"/>
      <c r="Q964" s="553"/>
      <c r="R964" s="553"/>
      <c r="S964" s="553"/>
    </row>
    <row r="965" spans="14:19" ht="27.95" customHeight="1">
      <c r="N965" s="553"/>
      <c r="O965" s="553"/>
      <c r="P965" s="553"/>
      <c r="Q965" s="553"/>
      <c r="R965" s="553"/>
      <c r="S965" s="553"/>
    </row>
    <row r="966" spans="14:19" ht="27.95" customHeight="1">
      <c r="N966" s="553"/>
      <c r="O966" s="553"/>
      <c r="P966" s="553"/>
      <c r="Q966" s="553"/>
      <c r="R966" s="553"/>
      <c r="S966" s="553"/>
    </row>
    <row r="967" spans="14:19" ht="27.95" customHeight="1">
      <c r="N967" s="553"/>
      <c r="O967" s="553"/>
      <c r="P967" s="553"/>
      <c r="Q967" s="553"/>
      <c r="R967" s="553"/>
      <c r="S967" s="553"/>
    </row>
    <row r="968" spans="14:19" ht="27.95" customHeight="1">
      <c r="N968" s="553"/>
      <c r="O968" s="553"/>
      <c r="P968" s="553"/>
      <c r="Q968" s="553"/>
      <c r="R968" s="553"/>
      <c r="S968" s="553"/>
    </row>
    <row r="969" spans="14:19" ht="27.95" customHeight="1">
      <c r="N969" s="553"/>
      <c r="O969" s="553"/>
      <c r="P969" s="553"/>
      <c r="Q969" s="553"/>
      <c r="R969" s="553"/>
      <c r="S969" s="553"/>
    </row>
    <row r="970" spans="14:19" ht="27.95" customHeight="1">
      <c r="N970" s="553"/>
      <c r="O970" s="553"/>
      <c r="P970" s="553"/>
      <c r="Q970" s="553"/>
      <c r="R970" s="553"/>
      <c r="S970" s="553"/>
    </row>
    <row r="971" spans="14:19" ht="27.95" customHeight="1">
      <c r="N971" s="553"/>
      <c r="O971" s="553"/>
      <c r="P971" s="553"/>
      <c r="Q971" s="553"/>
      <c r="R971" s="553"/>
      <c r="S971" s="553"/>
    </row>
    <row r="972" spans="14:19" ht="27.95" customHeight="1">
      <c r="N972" s="553"/>
      <c r="O972" s="553"/>
      <c r="P972" s="553"/>
      <c r="Q972" s="553"/>
      <c r="R972" s="553"/>
      <c r="S972" s="553"/>
    </row>
    <row r="973" spans="14:19" ht="27.95" customHeight="1">
      <c r="N973" s="553"/>
      <c r="O973" s="553"/>
      <c r="P973" s="553"/>
      <c r="Q973" s="553"/>
      <c r="R973" s="553"/>
      <c r="S973" s="553"/>
    </row>
    <row r="974" spans="14:19" ht="27.95" customHeight="1">
      <c r="N974" s="553"/>
      <c r="O974" s="553"/>
      <c r="P974" s="553"/>
      <c r="Q974" s="553"/>
      <c r="R974" s="553"/>
      <c r="S974" s="553"/>
    </row>
    <row r="975" spans="14:19" ht="27.95" customHeight="1">
      <c r="N975" s="553"/>
      <c r="O975" s="553"/>
      <c r="P975" s="553"/>
      <c r="Q975" s="553"/>
      <c r="R975" s="553"/>
      <c r="S975" s="553"/>
    </row>
    <row r="976" spans="14:19" ht="27.95" customHeight="1">
      <c r="N976" s="553"/>
      <c r="O976" s="553"/>
      <c r="P976" s="553"/>
      <c r="Q976" s="553"/>
      <c r="R976" s="553"/>
      <c r="S976" s="553"/>
    </row>
    <row r="977" spans="14:19" ht="27.95" customHeight="1">
      <c r="N977" s="553"/>
      <c r="O977" s="553"/>
      <c r="P977" s="553"/>
      <c r="Q977" s="553"/>
      <c r="R977" s="553"/>
      <c r="S977" s="553"/>
    </row>
    <row r="978" spans="14:19" ht="27.95" customHeight="1">
      <c r="N978" s="553"/>
      <c r="O978" s="553"/>
      <c r="P978" s="553"/>
      <c r="Q978" s="553"/>
      <c r="R978" s="553"/>
      <c r="S978" s="553"/>
    </row>
    <row r="979" spans="14:19" ht="27.95" customHeight="1">
      <c r="N979" s="553"/>
      <c r="O979" s="553"/>
      <c r="P979" s="553"/>
      <c r="Q979" s="553"/>
      <c r="R979" s="553"/>
      <c r="S979" s="553"/>
    </row>
    <row r="980" spans="14:19" ht="27.95" customHeight="1">
      <c r="N980" s="553"/>
      <c r="O980" s="553"/>
      <c r="P980" s="553"/>
      <c r="Q980" s="553"/>
      <c r="R980" s="553"/>
      <c r="S980" s="553"/>
    </row>
    <row r="981" spans="14:19" ht="27.95" customHeight="1">
      <c r="N981" s="553"/>
      <c r="O981" s="553"/>
      <c r="P981" s="553"/>
      <c r="Q981" s="553"/>
      <c r="R981" s="553"/>
      <c r="S981" s="553"/>
    </row>
    <row r="982" spans="14:19" ht="27.95" customHeight="1">
      <c r="N982" s="553"/>
      <c r="O982" s="553"/>
      <c r="P982" s="553"/>
      <c r="Q982" s="553"/>
      <c r="R982" s="553"/>
      <c r="S982" s="553"/>
    </row>
    <row r="983" spans="14:19" ht="27.95" customHeight="1">
      <c r="N983" s="553"/>
      <c r="O983" s="553"/>
      <c r="P983" s="553"/>
      <c r="Q983" s="553"/>
      <c r="R983" s="553"/>
      <c r="S983" s="553"/>
    </row>
    <row r="984" spans="14:19" ht="27.95" customHeight="1">
      <c r="N984" s="553"/>
      <c r="O984" s="553"/>
      <c r="P984" s="553"/>
      <c r="Q984" s="553"/>
      <c r="R984" s="553"/>
      <c r="S984" s="553"/>
    </row>
    <row r="985" spans="14:19" ht="27.95" customHeight="1">
      <c r="N985" s="553"/>
      <c r="O985" s="553"/>
      <c r="P985" s="553"/>
      <c r="Q985" s="553"/>
      <c r="R985" s="553"/>
      <c r="S985" s="553"/>
    </row>
    <row r="986" spans="14:19" ht="27.95" customHeight="1">
      <c r="N986" s="553"/>
      <c r="O986" s="553"/>
      <c r="P986" s="553"/>
      <c r="Q986" s="553"/>
      <c r="R986" s="553"/>
      <c r="S986" s="553"/>
    </row>
    <row r="987" spans="14:19" ht="27.95" customHeight="1">
      <c r="N987" s="553"/>
      <c r="O987" s="553"/>
      <c r="P987" s="553"/>
      <c r="Q987" s="553"/>
      <c r="R987" s="553"/>
      <c r="S987" s="553"/>
    </row>
    <row r="988" spans="14:19" ht="27.95" customHeight="1">
      <c r="N988" s="553"/>
      <c r="O988" s="553"/>
      <c r="P988" s="553"/>
      <c r="Q988" s="553"/>
      <c r="R988" s="553"/>
      <c r="S988" s="553"/>
    </row>
    <row r="989" spans="14:19" ht="27.95" customHeight="1">
      <c r="N989" s="553"/>
      <c r="O989" s="553"/>
      <c r="P989" s="553"/>
      <c r="Q989" s="553"/>
      <c r="R989" s="553"/>
      <c r="S989" s="553"/>
    </row>
    <row r="990" spans="14:19" ht="27.95" customHeight="1">
      <c r="N990" s="553"/>
      <c r="O990" s="553"/>
      <c r="P990" s="553"/>
      <c r="Q990" s="553"/>
      <c r="R990" s="553"/>
      <c r="S990" s="553"/>
    </row>
    <row r="991" spans="14:19" ht="27.95" customHeight="1">
      <c r="N991" s="553"/>
      <c r="O991" s="553"/>
      <c r="P991" s="553"/>
      <c r="Q991" s="553"/>
      <c r="R991" s="553"/>
      <c r="S991" s="553"/>
    </row>
    <row r="992" spans="14:19" ht="27.95" customHeight="1">
      <c r="N992" s="553"/>
      <c r="O992" s="553"/>
      <c r="P992" s="553"/>
      <c r="Q992" s="553"/>
      <c r="R992" s="553"/>
      <c r="S992" s="553"/>
    </row>
    <row r="993" spans="14:19" ht="27.95" customHeight="1">
      <c r="N993" s="553"/>
      <c r="O993" s="553"/>
      <c r="P993" s="553"/>
      <c r="Q993" s="553"/>
      <c r="R993" s="553"/>
      <c r="S993" s="553"/>
    </row>
    <row r="994" spans="14:19" ht="27.95" customHeight="1">
      <c r="N994" s="553"/>
      <c r="O994" s="553"/>
      <c r="P994" s="553"/>
      <c r="Q994" s="553"/>
      <c r="R994" s="553"/>
      <c r="S994" s="553"/>
    </row>
    <row r="995" spans="14:19" ht="27.95" customHeight="1">
      <c r="N995" s="553"/>
      <c r="O995" s="553"/>
      <c r="P995" s="553"/>
      <c r="Q995" s="553"/>
      <c r="R995" s="553"/>
      <c r="S995" s="553"/>
    </row>
    <row r="996" spans="14:19" ht="27.95" customHeight="1">
      <c r="N996" s="553"/>
      <c r="O996" s="553"/>
      <c r="P996" s="553"/>
      <c r="Q996" s="553"/>
      <c r="R996" s="553"/>
      <c r="S996" s="553"/>
    </row>
    <row r="997" spans="14:19" ht="27.95" customHeight="1">
      <c r="N997" s="553"/>
      <c r="O997" s="553"/>
      <c r="P997" s="553"/>
      <c r="Q997" s="553"/>
      <c r="R997" s="553"/>
      <c r="S997" s="553"/>
    </row>
    <row r="998" spans="14:19" ht="27.95" customHeight="1">
      <c r="N998" s="553"/>
      <c r="O998" s="553"/>
      <c r="P998" s="553"/>
      <c r="Q998" s="553"/>
      <c r="R998" s="553"/>
      <c r="S998" s="553"/>
    </row>
    <row r="999" spans="14:19" ht="27.95" customHeight="1">
      <c r="N999" s="553"/>
      <c r="O999" s="553"/>
      <c r="P999" s="553"/>
      <c r="Q999" s="553"/>
      <c r="R999" s="553"/>
      <c r="S999" s="553"/>
    </row>
    <row r="1000" spans="14:19" ht="27.95" customHeight="1">
      <c r="N1000" s="553"/>
      <c r="O1000" s="553"/>
      <c r="P1000" s="553"/>
      <c r="Q1000" s="553"/>
      <c r="R1000" s="553"/>
      <c r="S1000" s="553"/>
    </row>
    <row r="1001" spans="14:19" ht="27.95" customHeight="1">
      <c r="N1001" s="553"/>
      <c r="O1001" s="553"/>
      <c r="P1001" s="553"/>
      <c r="Q1001" s="553"/>
      <c r="R1001" s="553"/>
      <c r="S1001" s="553"/>
    </row>
    <row r="1002" spans="14:19" ht="27.95" customHeight="1">
      <c r="N1002" s="553"/>
      <c r="O1002" s="553"/>
      <c r="P1002" s="553"/>
      <c r="Q1002" s="553"/>
      <c r="R1002" s="553"/>
      <c r="S1002" s="553"/>
    </row>
    <row r="1003" spans="14:19" ht="27.95" customHeight="1">
      <c r="N1003" s="553"/>
      <c r="O1003" s="553"/>
      <c r="P1003" s="553"/>
      <c r="Q1003" s="553"/>
      <c r="R1003" s="553"/>
      <c r="S1003" s="553"/>
    </row>
    <row r="1004" spans="14:19" ht="27.95" customHeight="1">
      <c r="N1004" s="553"/>
      <c r="O1004" s="553"/>
      <c r="P1004" s="553"/>
      <c r="Q1004" s="553"/>
      <c r="R1004" s="553"/>
      <c r="S1004" s="553"/>
    </row>
    <row r="1005" spans="14:19" ht="27.95" customHeight="1">
      <c r="N1005" s="553"/>
      <c r="O1005" s="553"/>
      <c r="P1005" s="553"/>
      <c r="Q1005" s="553"/>
      <c r="R1005" s="553"/>
      <c r="S1005" s="553"/>
    </row>
    <row r="1006" spans="14:19" ht="27.95" customHeight="1">
      <c r="N1006" s="553"/>
      <c r="O1006" s="553"/>
      <c r="P1006" s="553"/>
      <c r="Q1006" s="553"/>
      <c r="R1006" s="553"/>
      <c r="S1006" s="553"/>
    </row>
    <row r="1007" spans="14:19" ht="27.95" customHeight="1">
      <c r="N1007" s="553"/>
      <c r="O1007" s="553"/>
      <c r="P1007" s="553"/>
      <c r="Q1007" s="553"/>
      <c r="R1007" s="553"/>
      <c r="S1007" s="553"/>
    </row>
    <row r="1008" spans="14:19" ht="27.95" customHeight="1">
      <c r="N1008" s="553"/>
      <c r="O1008" s="553"/>
      <c r="P1008" s="553"/>
      <c r="Q1008" s="553"/>
      <c r="R1008" s="553"/>
      <c r="S1008" s="553"/>
    </row>
    <row r="1009" spans="14:19" ht="27.95" customHeight="1">
      <c r="N1009" s="553"/>
      <c r="O1009" s="553"/>
      <c r="P1009" s="553"/>
      <c r="Q1009" s="553"/>
      <c r="R1009" s="553"/>
      <c r="S1009" s="553"/>
    </row>
    <row r="1010" spans="14:19" ht="27.95" customHeight="1">
      <c r="N1010" s="553"/>
      <c r="O1010" s="553"/>
      <c r="P1010" s="553"/>
      <c r="Q1010" s="553"/>
      <c r="R1010" s="553"/>
      <c r="S1010" s="553"/>
    </row>
    <row r="1011" spans="14:19" ht="27.95" customHeight="1">
      <c r="N1011" s="553"/>
      <c r="O1011" s="553"/>
      <c r="P1011" s="553"/>
      <c r="Q1011" s="553"/>
      <c r="R1011" s="553"/>
      <c r="S1011" s="553"/>
    </row>
    <row r="1012" spans="14:19" ht="27.95" customHeight="1">
      <c r="N1012" s="553"/>
      <c r="O1012" s="553"/>
      <c r="P1012" s="553"/>
      <c r="Q1012" s="553"/>
      <c r="R1012" s="553"/>
      <c r="S1012" s="553"/>
    </row>
    <row r="1013" spans="14:19" ht="27.95" customHeight="1">
      <c r="N1013" s="553"/>
      <c r="O1013" s="553"/>
      <c r="P1013" s="553"/>
      <c r="Q1013" s="553"/>
      <c r="R1013" s="553"/>
      <c r="S1013" s="553"/>
    </row>
    <row r="1014" spans="14:19" ht="27.95" customHeight="1">
      <c r="N1014" s="553"/>
      <c r="O1014" s="553"/>
      <c r="P1014" s="553"/>
      <c r="Q1014" s="553"/>
      <c r="R1014" s="553"/>
      <c r="S1014" s="553"/>
    </row>
    <row r="1015" spans="14:19" ht="27.95" customHeight="1">
      <c r="N1015" s="553"/>
      <c r="O1015" s="553"/>
      <c r="P1015" s="553"/>
      <c r="Q1015" s="553"/>
      <c r="R1015" s="553"/>
      <c r="S1015" s="553"/>
    </row>
    <row r="1016" spans="14:19" ht="27.95" customHeight="1">
      <c r="N1016" s="553"/>
      <c r="O1016" s="553"/>
      <c r="P1016" s="553"/>
      <c r="Q1016" s="553"/>
      <c r="R1016" s="553"/>
      <c r="S1016" s="553"/>
    </row>
    <row r="1017" spans="14:19" ht="27.95" customHeight="1">
      <c r="N1017" s="553"/>
      <c r="O1017" s="553"/>
      <c r="P1017" s="553"/>
      <c r="Q1017" s="553"/>
      <c r="R1017" s="553"/>
      <c r="S1017" s="553"/>
    </row>
    <row r="1018" spans="14:19" ht="27.95" customHeight="1">
      <c r="N1018" s="553"/>
      <c r="O1018" s="553"/>
      <c r="P1018" s="553"/>
      <c r="Q1018" s="553"/>
      <c r="R1018" s="553"/>
      <c r="S1018" s="553"/>
    </row>
    <row r="1019" spans="14:19" ht="27.95" customHeight="1">
      <c r="N1019" s="553"/>
      <c r="O1019" s="553"/>
      <c r="P1019" s="553"/>
      <c r="Q1019" s="553"/>
      <c r="R1019" s="553"/>
      <c r="S1019" s="553"/>
    </row>
    <row r="1020" spans="14:19" ht="27.95" customHeight="1">
      <c r="N1020" s="553"/>
      <c r="O1020" s="553"/>
      <c r="P1020" s="553"/>
      <c r="Q1020" s="553"/>
      <c r="R1020" s="553"/>
      <c r="S1020" s="553"/>
    </row>
    <row r="1021" spans="14:19" ht="27.95" customHeight="1">
      <c r="N1021" s="553"/>
      <c r="O1021" s="553"/>
      <c r="P1021" s="553"/>
      <c r="Q1021" s="553"/>
      <c r="R1021" s="553"/>
      <c r="S1021" s="553"/>
    </row>
    <row r="1022" spans="14:19" ht="27.95" customHeight="1">
      <c r="N1022" s="553"/>
      <c r="O1022" s="553"/>
      <c r="P1022" s="553"/>
      <c r="Q1022" s="553"/>
      <c r="R1022" s="553"/>
      <c r="S1022" s="553"/>
    </row>
    <row r="1023" spans="14:19" ht="27.95" customHeight="1">
      <c r="N1023" s="553"/>
      <c r="O1023" s="553"/>
      <c r="P1023" s="553"/>
      <c r="Q1023" s="553"/>
      <c r="R1023" s="553"/>
      <c r="S1023" s="553"/>
    </row>
    <row r="1024" spans="14:19" ht="27.95" customHeight="1">
      <c r="N1024" s="553"/>
      <c r="O1024" s="553"/>
      <c r="P1024" s="553"/>
      <c r="Q1024" s="553"/>
      <c r="R1024" s="553"/>
      <c r="S1024" s="553"/>
    </row>
    <row r="1025" spans="14:19" ht="27.95" customHeight="1">
      <c r="N1025" s="553"/>
      <c r="O1025" s="553"/>
      <c r="P1025" s="553"/>
      <c r="Q1025" s="553"/>
      <c r="R1025" s="553"/>
      <c r="S1025" s="553"/>
    </row>
    <row r="1026" spans="14:19" ht="27.95" customHeight="1">
      <c r="N1026" s="553"/>
      <c r="O1026" s="553"/>
      <c r="P1026" s="553"/>
      <c r="Q1026" s="553"/>
      <c r="R1026" s="553"/>
      <c r="S1026" s="553"/>
    </row>
    <row r="1027" spans="14:19" ht="27.95" customHeight="1">
      <c r="N1027" s="553"/>
      <c r="O1027" s="553"/>
      <c r="P1027" s="553"/>
      <c r="Q1027" s="553"/>
      <c r="R1027" s="553"/>
      <c r="S1027" s="553"/>
    </row>
    <row r="1028" spans="14:19" ht="27.95" customHeight="1">
      <c r="N1028" s="553"/>
      <c r="O1028" s="553"/>
      <c r="P1028" s="553"/>
      <c r="Q1028" s="553"/>
      <c r="R1028" s="553"/>
      <c r="S1028" s="553"/>
    </row>
    <row r="1029" spans="14:19" ht="27.95" customHeight="1">
      <c r="N1029" s="553"/>
      <c r="O1029" s="553"/>
      <c r="P1029" s="553"/>
      <c r="Q1029" s="553"/>
      <c r="R1029" s="553"/>
      <c r="S1029" s="553"/>
    </row>
    <row r="1030" spans="14:19" ht="27.95" customHeight="1">
      <c r="N1030" s="553"/>
      <c r="O1030" s="553"/>
      <c r="P1030" s="553"/>
      <c r="Q1030" s="553"/>
      <c r="R1030" s="553"/>
      <c r="S1030" s="553"/>
    </row>
    <row r="1031" spans="14:19" ht="27.95" customHeight="1">
      <c r="N1031" s="553"/>
      <c r="O1031" s="553"/>
      <c r="P1031" s="553"/>
      <c r="Q1031" s="553"/>
      <c r="R1031" s="553"/>
      <c r="S1031" s="553"/>
    </row>
    <row r="1032" spans="14:19" ht="27.95" customHeight="1">
      <c r="N1032" s="553"/>
      <c r="O1032" s="553"/>
      <c r="P1032" s="553"/>
      <c r="Q1032" s="553"/>
      <c r="R1032" s="553"/>
      <c r="S1032" s="553"/>
    </row>
    <row r="1033" spans="14:19" ht="27.95" customHeight="1">
      <c r="N1033" s="553"/>
      <c r="O1033" s="553"/>
      <c r="P1033" s="553"/>
      <c r="Q1033" s="553"/>
      <c r="R1033" s="553"/>
      <c r="S1033" s="553"/>
    </row>
    <row r="1034" spans="14:19" ht="27.95" customHeight="1">
      <c r="N1034" s="553"/>
      <c r="O1034" s="553"/>
      <c r="P1034" s="553"/>
      <c r="Q1034" s="553"/>
      <c r="R1034" s="553"/>
      <c r="S1034" s="553"/>
    </row>
    <row r="1035" spans="14:19" ht="27.95" customHeight="1">
      <c r="N1035" s="553"/>
      <c r="O1035" s="553"/>
      <c r="P1035" s="553"/>
      <c r="Q1035" s="553"/>
      <c r="R1035" s="553"/>
      <c r="S1035" s="553"/>
    </row>
    <row r="1036" spans="14:19" ht="27.95" customHeight="1">
      <c r="N1036" s="553"/>
      <c r="O1036" s="553"/>
      <c r="P1036" s="553"/>
      <c r="Q1036" s="553"/>
      <c r="R1036" s="553"/>
      <c r="S1036" s="553"/>
    </row>
    <row r="1037" spans="14:19" ht="27.95" customHeight="1">
      <c r="N1037" s="553"/>
      <c r="O1037" s="553"/>
      <c r="P1037" s="553"/>
      <c r="Q1037" s="553"/>
      <c r="R1037" s="553"/>
      <c r="S1037" s="553"/>
    </row>
    <row r="1038" spans="14:19" ht="27.95" customHeight="1">
      <c r="N1038" s="553"/>
      <c r="O1038" s="553"/>
      <c r="P1038" s="553"/>
      <c r="Q1038" s="553"/>
      <c r="R1038" s="553"/>
      <c r="S1038" s="553"/>
    </row>
    <row r="1039" spans="14:19" ht="27.95" customHeight="1">
      <c r="N1039" s="553"/>
      <c r="O1039" s="553"/>
      <c r="P1039" s="553"/>
      <c r="Q1039" s="553"/>
      <c r="R1039" s="553"/>
      <c r="S1039" s="553"/>
    </row>
    <row r="1040" spans="14:19" ht="27.95" customHeight="1">
      <c r="N1040" s="553"/>
      <c r="O1040" s="553"/>
      <c r="P1040" s="553"/>
      <c r="Q1040" s="553"/>
      <c r="R1040" s="553"/>
      <c r="S1040" s="553"/>
    </row>
    <row r="1041" spans="14:19" ht="27.95" customHeight="1">
      <c r="N1041" s="553"/>
      <c r="O1041" s="553"/>
      <c r="P1041" s="553"/>
      <c r="Q1041" s="553"/>
      <c r="R1041" s="553"/>
      <c r="S1041" s="553"/>
    </row>
    <row r="1042" spans="14:19" ht="27.95" customHeight="1">
      <c r="N1042" s="553"/>
      <c r="O1042" s="553"/>
      <c r="P1042" s="553"/>
      <c r="Q1042" s="553"/>
      <c r="R1042" s="553"/>
      <c r="S1042" s="553"/>
    </row>
    <row r="1043" spans="14:19" ht="27.95" customHeight="1">
      <c r="N1043" s="553"/>
      <c r="O1043" s="553"/>
      <c r="P1043" s="553"/>
      <c r="Q1043" s="553"/>
      <c r="R1043" s="553"/>
      <c r="S1043" s="553"/>
    </row>
    <row r="1044" spans="14:19" ht="27.95" customHeight="1">
      <c r="N1044" s="553"/>
      <c r="O1044" s="553"/>
      <c r="P1044" s="553"/>
      <c r="Q1044" s="553"/>
      <c r="R1044" s="553"/>
      <c r="S1044" s="553"/>
    </row>
    <row r="1045" spans="14:19" ht="27.95" customHeight="1">
      <c r="N1045" s="553"/>
      <c r="O1045" s="553"/>
      <c r="P1045" s="553"/>
      <c r="Q1045" s="553"/>
      <c r="R1045" s="553"/>
      <c r="S1045" s="553"/>
    </row>
    <row r="1046" spans="14:19" ht="27.95" customHeight="1">
      <c r="N1046" s="553"/>
      <c r="O1046" s="553"/>
      <c r="P1046" s="553"/>
      <c r="Q1046" s="553"/>
      <c r="R1046" s="553"/>
      <c r="S1046" s="553"/>
    </row>
    <row r="1047" spans="14:19" ht="27.95" customHeight="1">
      <c r="N1047" s="553"/>
      <c r="O1047" s="553"/>
      <c r="P1047" s="553"/>
      <c r="Q1047" s="553"/>
      <c r="R1047" s="553"/>
      <c r="S1047" s="553"/>
    </row>
    <row r="1048" spans="14:19" ht="27.95" customHeight="1">
      <c r="N1048" s="553"/>
      <c r="O1048" s="553"/>
      <c r="P1048" s="553"/>
      <c r="Q1048" s="553"/>
      <c r="R1048" s="553"/>
      <c r="S1048" s="553"/>
    </row>
    <row r="1049" spans="14:19" ht="27.95" customHeight="1">
      <c r="N1049" s="553"/>
      <c r="O1049" s="553"/>
      <c r="P1049" s="553"/>
      <c r="Q1049" s="553"/>
      <c r="R1049" s="553"/>
      <c r="S1049" s="553"/>
    </row>
    <row r="1050" spans="14:19" ht="27.95" customHeight="1">
      <c r="N1050" s="553"/>
      <c r="O1050" s="553"/>
      <c r="P1050" s="553"/>
      <c r="Q1050" s="553"/>
      <c r="R1050" s="553"/>
      <c r="S1050" s="553"/>
    </row>
    <row r="1051" spans="14:19" ht="27.95" customHeight="1">
      <c r="N1051" s="553"/>
      <c r="O1051" s="553"/>
      <c r="P1051" s="553"/>
      <c r="Q1051" s="553"/>
      <c r="R1051" s="553"/>
      <c r="S1051" s="553"/>
    </row>
    <row r="1052" spans="14:19" ht="27.95" customHeight="1">
      <c r="N1052" s="553"/>
      <c r="O1052" s="553"/>
      <c r="P1052" s="553"/>
      <c r="Q1052" s="553"/>
      <c r="R1052" s="553"/>
      <c r="S1052" s="553"/>
    </row>
    <row r="1053" spans="14:19" ht="27.95" customHeight="1">
      <c r="N1053" s="553"/>
      <c r="O1053" s="553"/>
      <c r="P1053" s="553"/>
      <c r="Q1053" s="553"/>
      <c r="R1053" s="553"/>
      <c r="S1053" s="553"/>
    </row>
    <row r="1054" spans="14:19" ht="27.95" customHeight="1">
      <c r="N1054" s="553"/>
      <c r="O1054" s="553"/>
      <c r="P1054" s="553"/>
      <c r="Q1054" s="553"/>
      <c r="R1054" s="553"/>
      <c r="S1054" s="553"/>
    </row>
    <row r="1055" spans="14:19" ht="27.95" customHeight="1">
      <c r="N1055" s="553"/>
      <c r="O1055" s="553"/>
      <c r="P1055" s="553"/>
      <c r="Q1055" s="553"/>
      <c r="R1055" s="553"/>
      <c r="S1055" s="553"/>
    </row>
    <row r="1056" spans="14:19" ht="27.95" customHeight="1">
      <c r="N1056" s="553"/>
      <c r="O1056" s="553"/>
      <c r="P1056" s="553"/>
      <c r="Q1056" s="553"/>
      <c r="R1056" s="553"/>
      <c r="S1056" s="553"/>
    </row>
    <row r="1057" spans="14:19" ht="27.95" customHeight="1">
      <c r="N1057" s="553"/>
      <c r="O1057" s="553"/>
      <c r="P1057" s="553"/>
      <c r="Q1057" s="553"/>
      <c r="R1057" s="553"/>
      <c r="S1057" s="553"/>
    </row>
    <row r="1058" spans="14:19" ht="27.95" customHeight="1">
      <c r="N1058" s="553"/>
      <c r="O1058" s="553"/>
      <c r="P1058" s="553"/>
      <c r="Q1058" s="553"/>
      <c r="R1058" s="553"/>
      <c r="S1058" s="553"/>
    </row>
    <row r="1059" spans="14:19" ht="27.95" customHeight="1">
      <c r="N1059" s="553"/>
      <c r="O1059" s="553"/>
      <c r="P1059" s="553"/>
      <c r="Q1059" s="553"/>
      <c r="R1059" s="553"/>
      <c r="S1059" s="553"/>
    </row>
    <row r="1060" spans="14:19" ht="27.95" customHeight="1">
      <c r="N1060" s="553"/>
      <c r="O1060" s="553"/>
      <c r="P1060" s="553"/>
      <c r="Q1060" s="553"/>
      <c r="R1060" s="553"/>
      <c r="S1060" s="553"/>
    </row>
    <row r="1061" spans="14:19" ht="27.95" customHeight="1">
      <c r="N1061" s="553"/>
      <c r="O1061" s="553"/>
      <c r="P1061" s="553"/>
      <c r="Q1061" s="553"/>
      <c r="R1061" s="553"/>
      <c r="S1061" s="553"/>
    </row>
    <row r="1062" spans="14:19" ht="27.95" customHeight="1">
      <c r="N1062" s="553"/>
      <c r="O1062" s="553"/>
      <c r="P1062" s="553"/>
      <c r="Q1062" s="553"/>
      <c r="R1062" s="553"/>
      <c r="S1062" s="553"/>
    </row>
    <row r="1063" spans="14:19" ht="27.95" customHeight="1">
      <c r="N1063" s="553"/>
      <c r="O1063" s="553"/>
      <c r="P1063" s="553"/>
      <c r="Q1063" s="553"/>
      <c r="R1063" s="553"/>
      <c r="S1063" s="553"/>
    </row>
    <row r="1064" spans="14:19" ht="27.95" customHeight="1">
      <c r="N1064" s="553"/>
      <c r="O1064" s="553"/>
      <c r="P1064" s="553"/>
      <c r="Q1064" s="553"/>
      <c r="R1064" s="553"/>
      <c r="S1064" s="553"/>
    </row>
    <row r="1065" spans="14:19" ht="27.95" customHeight="1">
      <c r="N1065" s="553"/>
      <c r="O1065" s="553"/>
      <c r="P1065" s="553"/>
      <c r="Q1065" s="553"/>
      <c r="R1065" s="553"/>
      <c r="S1065" s="553"/>
    </row>
    <row r="1066" spans="14:19" ht="27.95" customHeight="1">
      <c r="N1066" s="553"/>
      <c r="O1066" s="553"/>
      <c r="P1066" s="553"/>
      <c r="Q1066" s="553"/>
      <c r="R1066" s="553"/>
      <c r="S1066" s="553"/>
    </row>
    <row r="1067" spans="14:19" ht="27.95" customHeight="1">
      <c r="N1067" s="553"/>
      <c r="O1067" s="553"/>
      <c r="P1067" s="553"/>
      <c r="Q1067" s="553"/>
      <c r="R1067" s="553"/>
      <c r="S1067" s="553"/>
    </row>
    <row r="1068" spans="14:19" ht="27.95" customHeight="1">
      <c r="N1068" s="553"/>
      <c r="O1068" s="553"/>
      <c r="P1068" s="553"/>
      <c r="Q1068" s="553"/>
      <c r="R1068" s="553"/>
      <c r="S1068" s="553"/>
    </row>
    <row r="1069" spans="14:19" ht="27.95" customHeight="1">
      <c r="N1069" s="553"/>
      <c r="O1069" s="553"/>
      <c r="P1069" s="553"/>
      <c r="Q1069" s="553"/>
      <c r="R1069" s="553"/>
      <c r="S1069" s="553"/>
    </row>
    <row r="1070" spans="14:19" ht="27.95" customHeight="1">
      <c r="N1070" s="553"/>
      <c r="O1070" s="553"/>
      <c r="P1070" s="553"/>
      <c r="Q1070" s="553"/>
      <c r="R1070" s="553"/>
      <c r="S1070" s="553"/>
    </row>
    <row r="1071" spans="14:19" ht="27.95" customHeight="1">
      <c r="N1071" s="553"/>
      <c r="O1071" s="553"/>
      <c r="P1071" s="553"/>
      <c r="Q1071" s="553"/>
      <c r="R1071" s="553"/>
      <c r="S1071" s="553"/>
    </row>
    <row r="1072" spans="14:19" ht="27.95" customHeight="1">
      <c r="N1072" s="553"/>
      <c r="O1072" s="553"/>
      <c r="P1072" s="553"/>
      <c r="Q1072" s="553"/>
      <c r="R1072" s="553"/>
      <c r="S1072" s="553"/>
    </row>
    <row r="1073" spans="14:19" ht="27.95" customHeight="1">
      <c r="N1073" s="553"/>
      <c r="O1073" s="553"/>
      <c r="P1073" s="553"/>
      <c r="Q1073" s="553"/>
      <c r="R1073" s="553"/>
      <c r="S1073" s="553"/>
    </row>
    <row r="1074" spans="14:19" ht="27.95" customHeight="1">
      <c r="N1074" s="553"/>
      <c r="O1074" s="553"/>
      <c r="P1074" s="553"/>
      <c r="Q1074" s="553"/>
      <c r="R1074" s="553"/>
      <c r="S1074" s="553"/>
    </row>
    <row r="1075" spans="14:19" ht="27.95" customHeight="1">
      <c r="N1075" s="553"/>
      <c r="O1075" s="553"/>
      <c r="P1075" s="553"/>
      <c r="Q1075" s="553"/>
      <c r="R1075" s="553"/>
      <c r="S1075" s="553"/>
    </row>
    <row r="1076" spans="14:19" ht="27.95" customHeight="1">
      <c r="N1076" s="553"/>
      <c r="O1076" s="553"/>
      <c r="P1076" s="553"/>
      <c r="Q1076" s="553"/>
      <c r="R1076" s="553"/>
      <c r="S1076" s="553"/>
    </row>
    <row r="1077" spans="14:19" ht="27.95" customHeight="1">
      <c r="N1077" s="553"/>
      <c r="O1077" s="553"/>
      <c r="P1077" s="553"/>
      <c r="Q1077" s="553"/>
      <c r="R1077" s="553"/>
      <c r="S1077" s="553"/>
    </row>
    <row r="1078" spans="14:19" ht="27.95" customHeight="1">
      <c r="N1078" s="553"/>
      <c r="O1078" s="553"/>
      <c r="P1078" s="553"/>
      <c r="Q1078" s="553"/>
      <c r="R1078" s="553"/>
      <c r="S1078" s="553"/>
    </row>
    <row r="1079" spans="14:19" ht="27.95" customHeight="1">
      <c r="N1079" s="553"/>
      <c r="O1079" s="553"/>
      <c r="P1079" s="553"/>
      <c r="Q1079" s="553"/>
      <c r="R1079" s="553"/>
      <c r="S1079" s="553"/>
    </row>
    <row r="1080" spans="14:19" ht="27.95" customHeight="1">
      <c r="N1080" s="553"/>
      <c r="O1080" s="553"/>
      <c r="P1080" s="553"/>
      <c r="Q1080" s="553"/>
      <c r="R1080" s="553"/>
      <c r="S1080" s="553"/>
    </row>
    <row r="1081" spans="14:19" ht="27.95" customHeight="1">
      <c r="N1081" s="553"/>
      <c r="O1081" s="553"/>
      <c r="P1081" s="553"/>
      <c r="Q1081" s="553"/>
      <c r="R1081" s="553"/>
      <c r="S1081" s="553"/>
    </row>
    <row r="1082" spans="14:19" ht="27.95" customHeight="1">
      <c r="N1082" s="553"/>
      <c r="O1082" s="553"/>
      <c r="P1082" s="553"/>
      <c r="Q1082" s="553"/>
      <c r="R1082" s="553"/>
      <c r="S1082" s="553"/>
    </row>
    <row r="1083" spans="14:19" ht="27.95" customHeight="1">
      <c r="N1083" s="553"/>
      <c r="O1083" s="553"/>
      <c r="P1083" s="553"/>
      <c r="Q1083" s="553"/>
      <c r="R1083" s="553"/>
      <c r="S1083" s="553"/>
    </row>
    <row r="1084" spans="14:19" ht="27.95" customHeight="1">
      <c r="N1084" s="553"/>
      <c r="O1084" s="553"/>
      <c r="P1084" s="553"/>
      <c r="Q1084" s="553"/>
      <c r="R1084" s="553"/>
      <c r="S1084" s="553"/>
    </row>
    <row r="1085" spans="14:19" ht="27.95" customHeight="1">
      <c r="N1085" s="553"/>
      <c r="O1085" s="553"/>
      <c r="P1085" s="553"/>
      <c r="Q1085" s="553"/>
      <c r="R1085" s="553"/>
      <c r="S1085" s="553"/>
    </row>
    <row r="1086" spans="14:19" ht="27.95" customHeight="1">
      <c r="N1086" s="553"/>
      <c r="O1086" s="553"/>
      <c r="P1086" s="553"/>
      <c r="Q1086" s="553"/>
      <c r="R1086" s="553"/>
      <c r="S1086" s="553"/>
    </row>
    <row r="1087" spans="14:19" ht="27.95" customHeight="1">
      <c r="N1087" s="553"/>
      <c r="O1087" s="553"/>
      <c r="P1087" s="553"/>
      <c r="Q1087" s="553"/>
      <c r="R1087" s="553"/>
      <c r="S1087" s="553"/>
    </row>
    <row r="1088" spans="14:19" ht="27.95" customHeight="1">
      <c r="N1088" s="553"/>
      <c r="O1088" s="553"/>
      <c r="P1088" s="553"/>
      <c r="Q1088" s="553"/>
      <c r="R1088" s="553"/>
      <c r="S1088" s="553"/>
    </row>
    <row r="1089" spans="14:19" ht="27.95" customHeight="1">
      <c r="N1089" s="553"/>
      <c r="O1089" s="553"/>
      <c r="P1089" s="553"/>
      <c r="Q1089" s="553"/>
      <c r="R1089" s="553"/>
      <c r="S1089" s="553"/>
    </row>
    <row r="1090" spans="14:19" ht="27.95" customHeight="1">
      <c r="N1090" s="553"/>
      <c r="O1090" s="553"/>
      <c r="P1090" s="553"/>
      <c r="Q1090" s="553"/>
      <c r="R1090" s="553"/>
      <c r="S1090" s="553"/>
    </row>
    <row r="1091" spans="14:19" ht="27.95" customHeight="1">
      <c r="N1091" s="553"/>
      <c r="O1091" s="553"/>
      <c r="P1091" s="553"/>
      <c r="Q1091" s="553"/>
      <c r="R1091" s="553"/>
      <c r="S1091" s="553"/>
    </row>
    <row r="1092" spans="14:19" ht="27.95" customHeight="1">
      <c r="N1092" s="553"/>
      <c r="O1092" s="553"/>
      <c r="P1092" s="553"/>
      <c r="Q1092" s="553"/>
      <c r="R1092" s="553"/>
      <c r="S1092" s="553"/>
    </row>
    <row r="1093" spans="14:19" ht="27.95" customHeight="1">
      <c r="N1093" s="553"/>
      <c r="O1093" s="553"/>
      <c r="P1093" s="553"/>
      <c r="Q1093" s="553"/>
      <c r="R1093" s="553"/>
      <c r="S1093" s="553"/>
    </row>
    <row r="1094" spans="14:19" ht="27.95" customHeight="1">
      <c r="N1094" s="553"/>
      <c r="O1094" s="553"/>
      <c r="P1094" s="553"/>
      <c r="Q1094" s="553"/>
      <c r="R1094" s="553"/>
      <c r="S1094" s="553"/>
    </row>
    <row r="1095" spans="14:19" ht="27.95" customHeight="1">
      <c r="N1095" s="553"/>
      <c r="O1095" s="553"/>
      <c r="P1095" s="553"/>
      <c r="Q1095" s="553"/>
      <c r="R1095" s="553"/>
      <c r="S1095" s="553"/>
    </row>
    <row r="1096" spans="14:19" ht="27.95" customHeight="1">
      <c r="N1096" s="553"/>
      <c r="O1096" s="553"/>
      <c r="P1096" s="553"/>
      <c r="Q1096" s="553"/>
      <c r="R1096" s="553"/>
      <c r="S1096" s="553"/>
    </row>
    <row r="1097" spans="14:19" ht="27.95" customHeight="1">
      <c r="N1097" s="553"/>
      <c r="O1097" s="553"/>
      <c r="P1097" s="553"/>
      <c r="Q1097" s="553"/>
      <c r="R1097" s="553"/>
      <c r="S1097" s="553"/>
    </row>
    <row r="1098" spans="14:19" ht="27.95" customHeight="1">
      <c r="N1098" s="553"/>
      <c r="O1098" s="553"/>
      <c r="P1098" s="553"/>
      <c r="Q1098" s="553"/>
      <c r="R1098" s="553"/>
      <c r="S1098" s="553"/>
    </row>
    <row r="1099" spans="14:19" ht="27.95" customHeight="1">
      <c r="N1099" s="553"/>
      <c r="O1099" s="553"/>
      <c r="P1099" s="553"/>
      <c r="Q1099" s="553"/>
      <c r="R1099" s="553"/>
      <c r="S1099" s="553"/>
    </row>
    <row r="1100" spans="14:19" ht="27.95" customHeight="1">
      <c r="N1100" s="553"/>
      <c r="O1100" s="553"/>
      <c r="P1100" s="553"/>
      <c r="Q1100" s="553"/>
      <c r="R1100" s="553"/>
      <c r="S1100" s="553"/>
    </row>
    <row r="1101" spans="14:19" ht="27.95" customHeight="1">
      <c r="N1101" s="553"/>
      <c r="O1101" s="553"/>
      <c r="P1101" s="553"/>
      <c r="Q1101" s="553"/>
      <c r="R1101" s="553"/>
      <c r="S1101" s="553"/>
    </row>
    <row r="1102" spans="14:19" ht="27.95" customHeight="1">
      <c r="N1102" s="553"/>
      <c r="O1102" s="553"/>
      <c r="P1102" s="553"/>
      <c r="Q1102" s="553"/>
      <c r="R1102" s="553"/>
      <c r="S1102" s="553"/>
    </row>
    <row r="1103" spans="14:19" ht="27.95" customHeight="1">
      <c r="N1103" s="553"/>
      <c r="O1103" s="553"/>
      <c r="P1103" s="553"/>
      <c r="Q1103" s="553"/>
      <c r="R1103" s="553"/>
      <c r="S1103" s="553"/>
    </row>
    <row r="1104" spans="14:19" ht="27.95" customHeight="1">
      <c r="N1104" s="553"/>
      <c r="O1104" s="553"/>
      <c r="P1104" s="553"/>
      <c r="Q1104" s="553"/>
      <c r="R1104" s="553"/>
      <c r="S1104" s="553"/>
    </row>
    <row r="1105" spans="14:19" ht="27.95" customHeight="1">
      <c r="N1105" s="553"/>
      <c r="O1105" s="553"/>
      <c r="P1105" s="553"/>
      <c r="Q1105" s="553"/>
      <c r="R1105" s="553"/>
      <c r="S1105" s="553"/>
    </row>
    <row r="1106" spans="14:19" ht="27.95" customHeight="1">
      <c r="N1106" s="553"/>
      <c r="O1106" s="553"/>
      <c r="P1106" s="553"/>
      <c r="Q1106" s="553"/>
      <c r="R1106" s="553"/>
      <c r="S1106" s="553"/>
    </row>
    <row r="1107" spans="14:19" ht="27.95" customHeight="1">
      <c r="N1107" s="553"/>
      <c r="O1107" s="553"/>
      <c r="P1107" s="553"/>
      <c r="Q1107" s="553"/>
      <c r="R1107" s="553"/>
      <c r="S1107" s="553"/>
    </row>
    <row r="1108" spans="14:19" ht="27.95" customHeight="1">
      <c r="N1108" s="553"/>
      <c r="O1108" s="553"/>
      <c r="P1108" s="553"/>
      <c r="Q1108" s="553"/>
      <c r="R1108" s="553"/>
      <c r="S1108" s="553"/>
    </row>
    <row r="1109" spans="14:19" ht="27.95" customHeight="1">
      <c r="N1109" s="553"/>
      <c r="O1109" s="553"/>
      <c r="P1109" s="553"/>
      <c r="Q1109" s="553"/>
      <c r="R1109" s="553"/>
      <c r="S1109" s="553"/>
    </row>
    <row r="1110" spans="14:19" ht="27.95" customHeight="1">
      <c r="N1110" s="553"/>
      <c r="O1110" s="553"/>
      <c r="P1110" s="553"/>
      <c r="Q1110" s="553"/>
      <c r="R1110" s="553"/>
      <c r="S1110" s="553"/>
    </row>
    <row r="1111" spans="14:19" ht="27.95" customHeight="1">
      <c r="N1111" s="553"/>
      <c r="O1111" s="553"/>
      <c r="P1111" s="553"/>
      <c r="Q1111" s="553"/>
      <c r="R1111" s="553"/>
      <c r="S1111" s="553"/>
    </row>
    <row r="1112" spans="14:19" ht="27.95" customHeight="1">
      <c r="N1112" s="553"/>
      <c r="O1112" s="553"/>
      <c r="P1112" s="553"/>
      <c r="Q1112" s="553"/>
      <c r="R1112" s="553"/>
      <c r="S1112" s="553"/>
    </row>
    <row r="1113" spans="14:19" ht="27.95" customHeight="1">
      <c r="N1113" s="553"/>
      <c r="O1113" s="553"/>
      <c r="P1113" s="553"/>
      <c r="Q1113" s="553"/>
      <c r="R1113" s="553"/>
      <c r="S1113" s="553"/>
    </row>
    <row r="1114" spans="14:19" ht="27.95" customHeight="1">
      <c r="N1114" s="553"/>
      <c r="O1114" s="553"/>
      <c r="P1114" s="553"/>
      <c r="Q1114" s="553"/>
      <c r="R1114" s="553"/>
      <c r="S1114" s="553"/>
    </row>
    <row r="1115" spans="14:19" ht="27.95" customHeight="1">
      <c r="N1115" s="553"/>
      <c r="O1115" s="553"/>
      <c r="P1115" s="553"/>
      <c r="Q1115" s="553"/>
      <c r="R1115" s="553"/>
      <c r="S1115" s="553"/>
    </row>
    <row r="1116" spans="14:19" ht="27.95" customHeight="1">
      <c r="N1116" s="553"/>
      <c r="O1116" s="553"/>
      <c r="P1116" s="553"/>
      <c r="Q1116" s="553"/>
      <c r="R1116" s="553"/>
      <c r="S1116" s="553"/>
    </row>
    <row r="1117" spans="14:19" ht="27.95" customHeight="1">
      <c r="N1117" s="553"/>
      <c r="O1117" s="553"/>
      <c r="P1117" s="553"/>
      <c r="Q1117" s="553"/>
      <c r="R1117" s="553"/>
      <c r="S1117" s="553"/>
    </row>
    <row r="1118" spans="14:19" ht="27.95" customHeight="1">
      <c r="N1118" s="553"/>
      <c r="O1118" s="553"/>
      <c r="P1118" s="553"/>
      <c r="Q1118" s="553"/>
      <c r="R1118" s="553"/>
      <c r="S1118" s="553"/>
    </row>
    <row r="1119" spans="14:19" ht="27.95" customHeight="1">
      <c r="N1119" s="553"/>
      <c r="O1119" s="553"/>
      <c r="P1119" s="553"/>
      <c r="Q1119" s="553"/>
      <c r="R1119" s="553"/>
      <c r="S1119" s="553"/>
    </row>
    <row r="1120" spans="14:19" ht="27.95" customHeight="1">
      <c r="N1120" s="553"/>
      <c r="O1120" s="553"/>
      <c r="P1120" s="553"/>
      <c r="Q1120" s="553"/>
      <c r="R1120" s="553"/>
      <c r="S1120" s="553"/>
    </row>
    <row r="1121" spans="14:19" ht="27.95" customHeight="1">
      <c r="N1121" s="553"/>
      <c r="O1121" s="553"/>
      <c r="P1121" s="553"/>
      <c r="Q1121" s="553"/>
      <c r="R1121" s="553"/>
      <c r="S1121" s="553"/>
    </row>
    <row r="1122" spans="14:19" ht="27.95" customHeight="1">
      <c r="N1122" s="553"/>
      <c r="O1122" s="553"/>
      <c r="P1122" s="553"/>
      <c r="Q1122" s="553"/>
      <c r="R1122" s="553"/>
      <c r="S1122" s="553"/>
    </row>
    <row r="1123" spans="14:19" ht="27.95" customHeight="1">
      <c r="N1123" s="553"/>
      <c r="O1123" s="553"/>
      <c r="P1123" s="553"/>
      <c r="Q1123" s="553"/>
      <c r="R1123" s="553"/>
      <c r="S1123" s="553"/>
    </row>
    <row r="1124" spans="14:19" ht="27.95" customHeight="1">
      <c r="N1124" s="553"/>
      <c r="O1124" s="553"/>
      <c r="P1124" s="553"/>
      <c r="Q1124" s="553"/>
      <c r="R1124" s="553"/>
      <c r="S1124" s="553"/>
    </row>
    <row r="1125" spans="14:19" ht="27.95" customHeight="1">
      <c r="N1125" s="553"/>
      <c r="O1125" s="553"/>
      <c r="P1125" s="553"/>
      <c r="Q1125" s="553"/>
      <c r="R1125" s="553"/>
      <c r="S1125" s="553"/>
    </row>
    <row r="1126" spans="14:19" ht="27.95" customHeight="1">
      <c r="N1126" s="553"/>
      <c r="O1126" s="553"/>
      <c r="P1126" s="553"/>
      <c r="Q1126" s="553"/>
      <c r="R1126" s="553"/>
      <c r="S1126" s="553"/>
    </row>
    <row r="1127" spans="14:19" ht="27.95" customHeight="1">
      <c r="N1127" s="553"/>
      <c r="O1127" s="553"/>
      <c r="P1127" s="553"/>
      <c r="Q1127" s="553"/>
      <c r="R1127" s="553"/>
      <c r="S1127" s="553"/>
    </row>
    <row r="1128" spans="14:19" ht="27.95" customHeight="1">
      <c r="N1128" s="553"/>
      <c r="O1128" s="553"/>
      <c r="P1128" s="553"/>
      <c r="Q1128" s="553"/>
      <c r="R1128" s="553"/>
      <c r="S1128" s="553"/>
    </row>
    <row r="1129" spans="14:19" ht="27.95" customHeight="1">
      <c r="N1129" s="553"/>
      <c r="O1129" s="553"/>
      <c r="P1129" s="553"/>
      <c r="Q1129" s="553"/>
      <c r="R1129" s="553"/>
      <c r="S1129" s="553"/>
    </row>
    <row r="1130" spans="14:19" ht="27.95" customHeight="1">
      <c r="N1130" s="553"/>
      <c r="O1130" s="553"/>
      <c r="P1130" s="553"/>
      <c r="Q1130" s="553"/>
      <c r="R1130" s="553"/>
      <c r="S1130" s="553"/>
    </row>
    <row r="1131" spans="14:19" ht="27.95" customHeight="1">
      <c r="N1131" s="553"/>
      <c r="O1131" s="553"/>
      <c r="P1131" s="553"/>
      <c r="Q1131" s="553"/>
      <c r="R1131" s="553"/>
      <c r="S1131" s="553"/>
    </row>
    <row r="1132" spans="14:19" ht="27.95" customHeight="1">
      <c r="N1132" s="553"/>
      <c r="O1132" s="553"/>
      <c r="P1132" s="553"/>
      <c r="Q1132" s="553"/>
      <c r="R1132" s="553"/>
      <c r="S1132" s="553"/>
    </row>
    <row r="1133" spans="14:19" ht="27.95" customHeight="1">
      <c r="N1133" s="553"/>
      <c r="O1133" s="553"/>
      <c r="P1133" s="553"/>
      <c r="Q1133" s="553"/>
      <c r="R1133" s="553"/>
      <c r="S1133" s="553"/>
    </row>
    <row r="1134" spans="14:19" ht="27.95" customHeight="1">
      <c r="N1134" s="553"/>
      <c r="O1134" s="553"/>
      <c r="P1134" s="553"/>
      <c r="Q1134" s="553"/>
      <c r="R1134" s="553"/>
      <c r="S1134" s="553"/>
    </row>
    <row r="1135" spans="14:19" ht="27.95" customHeight="1">
      <c r="N1135" s="553"/>
      <c r="O1135" s="553"/>
      <c r="P1135" s="553"/>
      <c r="Q1135" s="553"/>
      <c r="R1135" s="553"/>
      <c r="S1135" s="553"/>
    </row>
    <row r="1136" spans="14:19" ht="27.95" customHeight="1">
      <c r="N1136" s="553"/>
      <c r="O1136" s="553"/>
      <c r="P1136" s="553"/>
      <c r="Q1136" s="553"/>
      <c r="R1136" s="553"/>
      <c r="S1136" s="553"/>
    </row>
    <row r="1137" spans="14:19" ht="27.95" customHeight="1">
      <c r="N1137" s="553"/>
      <c r="O1137" s="553"/>
      <c r="P1137" s="553"/>
      <c r="Q1137" s="553"/>
      <c r="R1137" s="553"/>
      <c r="S1137" s="553"/>
    </row>
    <row r="1138" spans="14:19" ht="27.95" customHeight="1">
      <c r="N1138" s="553"/>
      <c r="O1138" s="553"/>
      <c r="P1138" s="553"/>
      <c r="Q1138" s="553"/>
      <c r="R1138" s="553"/>
      <c r="S1138" s="553"/>
    </row>
    <row r="1139" spans="14:19" ht="27.95" customHeight="1">
      <c r="N1139" s="553"/>
      <c r="O1139" s="553"/>
      <c r="P1139" s="553"/>
      <c r="Q1139" s="553"/>
      <c r="R1139" s="553"/>
      <c r="S1139" s="553"/>
    </row>
    <row r="1140" spans="14:19" ht="27.95" customHeight="1">
      <c r="N1140" s="553"/>
      <c r="O1140" s="553"/>
      <c r="P1140" s="553"/>
      <c r="Q1140" s="553"/>
      <c r="R1140" s="553"/>
      <c r="S1140" s="553"/>
    </row>
    <row r="1141" spans="14:19" ht="27.95" customHeight="1">
      <c r="N1141" s="553"/>
      <c r="O1141" s="553"/>
      <c r="P1141" s="553"/>
      <c r="Q1141" s="553"/>
      <c r="R1141" s="553"/>
      <c r="S1141" s="553"/>
    </row>
    <row r="1142" spans="14:19" ht="27.95" customHeight="1">
      <c r="N1142" s="553"/>
      <c r="O1142" s="553"/>
      <c r="P1142" s="553"/>
      <c r="Q1142" s="553"/>
      <c r="R1142" s="553"/>
      <c r="S1142" s="553"/>
    </row>
    <row r="1143" spans="14:19" ht="27.95" customHeight="1">
      <c r="N1143" s="553"/>
      <c r="O1143" s="553"/>
      <c r="P1143" s="553"/>
      <c r="Q1143" s="553"/>
      <c r="R1143" s="553"/>
      <c r="S1143" s="553"/>
    </row>
    <row r="1144" spans="14:19" ht="27.95" customHeight="1">
      <c r="N1144" s="553"/>
      <c r="O1144" s="553"/>
      <c r="P1144" s="553"/>
      <c r="Q1144" s="553"/>
      <c r="R1144" s="553"/>
      <c r="S1144" s="553"/>
    </row>
    <row r="1145" spans="14:19" ht="27.95" customHeight="1">
      <c r="N1145" s="553"/>
      <c r="O1145" s="553"/>
      <c r="P1145" s="553"/>
      <c r="Q1145" s="553"/>
      <c r="R1145" s="553"/>
      <c r="S1145" s="553"/>
    </row>
    <row r="1146" spans="14:19" ht="27.95" customHeight="1">
      <c r="N1146" s="553"/>
      <c r="O1146" s="553"/>
      <c r="P1146" s="553"/>
      <c r="Q1146" s="553"/>
      <c r="R1146" s="553"/>
      <c r="S1146" s="553"/>
    </row>
    <row r="1147" spans="14:19" ht="27.95" customHeight="1">
      <c r="N1147" s="553"/>
      <c r="O1147" s="553"/>
      <c r="P1147" s="553"/>
      <c r="Q1147" s="553"/>
      <c r="R1147" s="553"/>
      <c r="S1147" s="553"/>
    </row>
    <row r="1148" spans="14:19" ht="27.95" customHeight="1">
      <c r="N1148" s="553"/>
      <c r="O1148" s="553"/>
      <c r="P1148" s="553"/>
      <c r="Q1148" s="553"/>
      <c r="R1148" s="553"/>
      <c r="S1148" s="553"/>
    </row>
    <row r="1149" spans="14:19" ht="27.95" customHeight="1">
      <c r="N1149" s="553"/>
      <c r="O1149" s="553"/>
      <c r="P1149" s="553"/>
      <c r="Q1149" s="553"/>
      <c r="R1149" s="553"/>
      <c r="S1149" s="553"/>
    </row>
    <row r="1150" spans="14:19" ht="27.95" customHeight="1">
      <c r="N1150" s="553"/>
      <c r="O1150" s="553"/>
      <c r="P1150" s="553"/>
      <c r="Q1150" s="553"/>
      <c r="R1150" s="553"/>
      <c r="S1150" s="553"/>
    </row>
    <row r="1151" spans="14:19" ht="27.95" customHeight="1">
      <c r="N1151" s="553"/>
      <c r="O1151" s="553"/>
      <c r="P1151" s="553"/>
      <c r="Q1151" s="553"/>
      <c r="R1151" s="553"/>
      <c r="S1151" s="553"/>
    </row>
    <row r="1152" spans="14:19" ht="27.95" customHeight="1">
      <c r="N1152" s="553"/>
      <c r="O1152" s="553"/>
      <c r="P1152" s="553"/>
      <c r="Q1152" s="553"/>
      <c r="R1152" s="553"/>
      <c r="S1152" s="553"/>
    </row>
    <row r="1153" spans="14:19" ht="27.95" customHeight="1">
      <c r="N1153" s="553"/>
      <c r="O1153" s="553"/>
      <c r="P1153" s="553"/>
      <c r="Q1153" s="553"/>
      <c r="R1153" s="553"/>
      <c r="S1153" s="553"/>
    </row>
    <row r="1154" spans="14:19" ht="27.95" customHeight="1">
      <c r="N1154" s="553"/>
      <c r="O1154" s="553"/>
      <c r="P1154" s="553"/>
      <c r="Q1154" s="553"/>
      <c r="R1154" s="553"/>
      <c r="S1154" s="553"/>
    </row>
    <row r="1155" spans="14:19" ht="27.95" customHeight="1">
      <c r="N1155" s="553"/>
      <c r="O1155" s="553"/>
      <c r="P1155" s="553"/>
      <c r="Q1155" s="553"/>
      <c r="R1155" s="553"/>
      <c r="S1155" s="553"/>
    </row>
    <row r="1156" spans="14:19" ht="27.95" customHeight="1">
      <c r="N1156" s="553"/>
      <c r="O1156" s="553"/>
      <c r="P1156" s="553"/>
      <c r="Q1156" s="553"/>
      <c r="R1156" s="553"/>
      <c r="S1156" s="553"/>
    </row>
    <row r="1157" spans="14:19" ht="27.95" customHeight="1">
      <c r="N1157" s="553"/>
      <c r="O1157" s="553"/>
      <c r="P1157" s="553"/>
      <c r="Q1157" s="553"/>
      <c r="R1157" s="553"/>
      <c r="S1157" s="553"/>
    </row>
    <row r="1158" spans="14:19" ht="27.95" customHeight="1">
      <c r="N1158" s="553"/>
      <c r="O1158" s="553"/>
      <c r="P1158" s="553"/>
      <c r="Q1158" s="553"/>
      <c r="R1158" s="553"/>
      <c r="S1158" s="553"/>
    </row>
    <row r="1159" spans="14:19" ht="27.95" customHeight="1">
      <c r="N1159" s="553"/>
      <c r="O1159" s="553"/>
      <c r="P1159" s="553"/>
      <c r="Q1159" s="553"/>
      <c r="R1159" s="553"/>
      <c r="S1159" s="553"/>
    </row>
    <row r="1160" spans="14:19" ht="27.95" customHeight="1">
      <c r="N1160" s="553"/>
      <c r="O1160" s="553"/>
      <c r="P1160" s="553"/>
      <c r="Q1160" s="553"/>
      <c r="R1160" s="553"/>
      <c r="S1160" s="553"/>
    </row>
    <row r="1161" spans="14:19" ht="27.95" customHeight="1">
      <c r="N1161" s="553"/>
      <c r="O1161" s="553"/>
      <c r="P1161" s="553"/>
      <c r="Q1161" s="553"/>
      <c r="R1161" s="553"/>
      <c r="S1161" s="553"/>
    </row>
    <row r="1162" spans="14:19" ht="27.95" customHeight="1">
      <c r="N1162" s="553"/>
      <c r="O1162" s="553"/>
      <c r="P1162" s="553"/>
      <c r="Q1162" s="553"/>
      <c r="R1162" s="553"/>
      <c r="S1162" s="553"/>
    </row>
    <row r="1163" spans="14:19" ht="27.95" customHeight="1">
      <c r="N1163" s="553"/>
      <c r="O1163" s="553"/>
      <c r="P1163" s="553"/>
      <c r="Q1163" s="553"/>
      <c r="R1163" s="553"/>
      <c r="S1163" s="553"/>
    </row>
    <row r="1164" spans="14:19" ht="27.95" customHeight="1">
      <c r="N1164" s="553"/>
      <c r="O1164" s="553"/>
      <c r="P1164" s="553"/>
      <c r="Q1164" s="553"/>
      <c r="R1164" s="553"/>
      <c r="S1164" s="553"/>
    </row>
    <row r="1165" spans="14:19" ht="27.95" customHeight="1">
      <c r="N1165" s="553"/>
      <c r="O1165" s="553"/>
      <c r="P1165" s="553"/>
      <c r="Q1165" s="553"/>
      <c r="R1165" s="553"/>
      <c r="S1165" s="553"/>
    </row>
    <row r="1166" spans="14:19" ht="27.95" customHeight="1">
      <c r="N1166" s="553"/>
      <c r="O1166" s="553"/>
      <c r="P1166" s="553"/>
      <c r="Q1166" s="553"/>
      <c r="R1166" s="553"/>
      <c r="S1166" s="553"/>
    </row>
    <row r="1167" spans="14:19" ht="27.95" customHeight="1">
      <c r="N1167" s="553"/>
      <c r="O1167" s="553"/>
      <c r="P1167" s="553"/>
      <c r="Q1167" s="553"/>
      <c r="R1167" s="553"/>
      <c r="S1167" s="553"/>
    </row>
    <row r="1168" spans="14:19" ht="27.95" customHeight="1">
      <c r="N1168" s="553"/>
      <c r="O1168" s="553"/>
      <c r="P1168" s="553"/>
      <c r="Q1168" s="553"/>
      <c r="R1168" s="553"/>
      <c r="S1168" s="553"/>
    </row>
    <row r="1169" spans="14:19" ht="27.95" customHeight="1">
      <c r="N1169" s="553"/>
      <c r="O1169" s="553"/>
      <c r="P1169" s="553"/>
      <c r="Q1169" s="553"/>
      <c r="R1169" s="553"/>
      <c r="S1169" s="553"/>
    </row>
    <row r="1170" spans="14:19" ht="27.95" customHeight="1">
      <c r="N1170" s="553"/>
      <c r="O1170" s="553"/>
      <c r="P1170" s="553"/>
      <c r="Q1170" s="553"/>
      <c r="R1170" s="553"/>
      <c r="S1170" s="553"/>
    </row>
    <row r="1171" spans="14:19" ht="27.95" customHeight="1">
      <c r="N1171" s="553"/>
      <c r="O1171" s="553"/>
      <c r="P1171" s="553"/>
      <c r="Q1171" s="553"/>
      <c r="R1171" s="553"/>
      <c r="S1171" s="553"/>
    </row>
    <row r="1172" spans="14:19" ht="27.95" customHeight="1">
      <c r="N1172" s="553"/>
      <c r="O1172" s="553"/>
      <c r="P1172" s="553"/>
      <c r="Q1172" s="553"/>
      <c r="R1172" s="553"/>
      <c r="S1172" s="553"/>
    </row>
    <row r="1173" spans="14:19" ht="27.95" customHeight="1">
      <c r="N1173" s="553"/>
      <c r="O1173" s="553"/>
      <c r="P1173" s="553"/>
      <c r="Q1173" s="553"/>
      <c r="R1173" s="553"/>
      <c r="S1173" s="553"/>
    </row>
    <row r="1174" spans="14:19" ht="27.95" customHeight="1">
      <c r="N1174" s="553"/>
      <c r="O1174" s="553"/>
      <c r="P1174" s="553"/>
      <c r="Q1174" s="553"/>
      <c r="R1174" s="553"/>
      <c r="S1174" s="553"/>
    </row>
    <row r="1175" spans="14:19" ht="27.95" customHeight="1">
      <c r="N1175" s="553"/>
      <c r="O1175" s="553"/>
      <c r="P1175" s="553"/>
      <c r="Q1175" s="553"/>
      <c r="R1175" s="553"/>
      <c r="S1175" s="553"/>
    </row>
    <row r="1176" spans="14:19" ht="27.95" customHeight="1">
      <c r="N1176" s="553"/>
      <c r="O1176" s="553"/>
      <c r="P1176" s="553"/>
      <c r="Q1176" s="553"/>
      <c r="R1176" s="553"/>
      <c r="S1176" s="553"/>
    </row>
    <row r="1177" spans="14:19" ht="27.95" customHeight="1">
      <c r="N1177" s="553"/>
      <c r="O1177" s="553"/>
      <c r="P1177" s="553"/>
      <c r="Q1177" s="553"/>
      <c r="R1177" s="553"/>
      <c r="S1177" s="553"/>
    </row>
    <row r="1178" spans="14:19" ht="27.95" customHeight="1">
      <c r="N1178" s="553"/>
      <c r="O1178" s="553"/>
      <c r="P1178" s="553"/>
      <c r="Q1178" s="553"/>
      <c r="R1178" s="553"/>
      <c r="S1178" s="553"/>
    </row>
    <row r="1179" spans="14:19" ht="27.95" customHeight="1">
      <c r="N1179" s="553"/>
      <c r="O1179" s="553"/>
      <c r="P1179" s="553"/>
      <c r="Q1179" s="553"/>
      <c r="R1179" s="553"/>
      <c r="S1179" s="553"/>
    </row>
    <row r="1180" spans="14:19" ht="27.95" customHeight="1">
      <c r="N1180" s="553"/>
      <c r="O1180" s="553"/>
      <c r="P1180" s="553"/>
      <c r="Q1180" s="553"/>
      <c r="R1180" s="553"/>
      <c r="S1180" s="553"/>
    </row>
    <row r="1181" spans="14:19" ht="27.95" customHeight="1">
      <c r="N1181" s="553"/>
      <c r="O1181" s="553"/>
      <c r="P1181" s="553"/>
      <c r="Q1181" s="553"/>
      <c r="R1181" s="553"/>
      <c r="S1181" s="553"/>
    </row>
    <row r="1182" spans="14:19" ht="27.95" customHeight="1">
      <c r="N1182" s="553"/>
      <c r="O1182" s="553"/>
      <c r="P1182" s="553"/>
      <c r="Q1182" s="553"/>
      <c r="R1182" s="553"/>
      <c r="S1182" s="553"/>
    </row>
    <row r="1183" spans="14:19" ht="27.95" customHeight="1">
      <c r="N1183" s="553"/>
      <c r="O1183" s="553"/>
      <c r="P1183" s="553"/>
      <c r="Q1183" s="553"/>
      <c r="R1183" s="553"/>
      <c r="S1183" s="553"/>
    </row>
    <row r="1184" spans="14:19" ht="27.95" customHeight="1">
      <c r="N1184" s="553"/>
      <c r="O1184" s="553"/>
      <c r="P1184" s="553"/>
      <c r="Q1184" s="553"/>
      <c r="R1184" s="553"/>
      <c r="S1184" s="553"/>
    </row>
    <row r="1185" spans="14:19" ht="27.95" customHeight="1">
      <c r="N1185" s="553"/>
      <c r="O1185" s="553"/>
      <c r="P1185" s="553"/>
      <c r="Q1185" s="553"/>
      <c r="R1185" s="553"/>
      <c r="S1185" s="553"/>
    </row>
    <row r="1186" spans="14:19" ht="27.95" customHeight="1">
      <c r="N1186" s="553"/>
      <c r="O1186" s="553"/>
      <c r="P1186" s="553"/>
      <c r="Q1186" s="553"/>
      <c r="R1186" s="553"/>
      <c r="S1186" s="553"/>
    </row>
    <row r="1187" spans="14:19" ht="27.95" customHeight="1">
      <c r="N1187" s="553"/>
      <c r="O1187" s="553"/>
      <c r="P1187" s="553"/>
      <c r="Q1187" s="553"/>
      <c r="R1187" s="553"/>
      <c r="S1187" s="553"/>
    </row>
    <row r="1188" spans="14:19" ht="27.95" customHeight="1">
      <c r="N1188" s="553"/>
      <c r="O1188" s="553"/>
      <c r="P1188" s="553"/>
      <c r="Q1188" s="553"/>
      <c r="R1188" s="553"/>
      <c r="S1188" s="553"/>
    </row>
    <row r="1189" spans="14:19" ht="27.95" customHeight="1">
      <c r="N1189" s="553"/>
      <c r="O1189" s="553"/>
      <c r="P1189" s="553"/>
      <c r="Q1189" s="553"/>
      <c r="R1189" s="553"/>
      <c r="S1189" s="553"/>
    </row>
    <row r="1190" spans="14:19" ht="27.95" customHeight="1">
      <c r="N1190" s="553"/>
      <c r="O1190" s="553"/>
      <c r="P1190" s="553"/>
      <c r="Q1190" s="553"/>
      <c r="R1190" s="553"/>
      <c r="S1190" s="553"/>
    </row>
    <row r="1191" spans="14:19" ht="27.95" customHeight="1">
      <c r="N1191" s="553"/>
      <c r="O1191" s="553"/>
      <c r="P1191" s="553"/>
      <c r="Q1191" s="553"/>
      <c r="R1191" s="553"/>
      <c r="S1191" s="553"/>
    </row>
    <row r="1192" spans="14:19" ht="27.95" customHeight="1">
      <c r="N1192" s="553"/>
      <c r="O1192" s="553"/>
      <c r="P1192" s="553"/>
      <c r="Q1192" s="553"/>
      <c r="R1192" s="553"/>
      <c r="S1192" s="553"/>
    </row>
    <row r="1193" spans="14:19" ht="27.95" customHeight="1">
      <c r="N1193" s="553"/>
      <c r="O1193" s="553"/>
      <c r="P1193" s="553"/>
      <c r="Q1193" s="553"/>
      <c r="R1193" s="553"/>
      <c r="S1193" s="553"/>
    </row>
    <row r="1194" spans="14:19" ht="27.95" customHeight="1">
      <c r="N1194" s="553"/>
      <c r="O1194" s="553"/>
      <c r="P1194" s="553"/>
      <c r="Q1194" s="553"/>
      <c r="R1194" s="553"/>
      <c r="S1194" s="553"/>
    </row>
    <row r="1195" spans="14:19" ht="27.95" customHeight="1">
      <c r="N1195" s="553"/>
      <c r="O1195" s="553"/>
      <c r="P1195" s="553"/>
      <c r="Q1195" s="553"/>
      <c r="R1195" s="553"/>
      <c r="S1195" s="553"/>
    </row>
    <row r="1196" spans="14:19" ht="27.95" customHeight="1">
      <c r="N1196" s="553"/>
      <c r="O1196" s="553"/>
      <c r="P1196" s="553"/>
      <c r="Q1196" s="553"/>
      <c r="R1196" s="553"/>
      <c r="S1196" s="553"/>
    </row>
    <row r="1197" spans="14:19" ht="27.95" customHeight="1">
      <c r="N1197" s="553"/>
      <c r="O1197" s="553"/>
      <c r="P1197" s="553"/>
      <c r="Q1197" s="553"/>
      <c r="R1197" s="553"/>
      <c r="S1197" s="553"/>
    </row>
    <row r="1198" spans="14:19" ht="27.95" customHeight="1">
      <c r="N1198" s="553"/>
      <c r="O1198" s="553"/>
      <c r="P1198" s="553"/>
      <c r="Q1198" s="553"/>
      <c r="R1198" s="553"/>
      <c r="S1198" s="553"/>
    </row>
    <row r="1199" spans="14:19" ht="27.95" customHeight="1">
      <c r="N1199" s="553"/>
      <c r="O1199" s="553"/>
      <c r="P1199" s="553"/>
      <c r="Q1199" s="553"/>
      <c r="R1199" s="553"/>
      <c r="S1199" s="553"/>
    </row>
    <row r="1200" spans="14:19" ht="27.95" customHeight="1">
      <c r="N1200" s="553"/>
      <c r="O1200" s="553"/>
      <c r="P1200" s="553"/>
      <c r="Q1200" s="553"/>
      <c r="R1200" s="553"/>
      <c r="S1200" s="553"/>
    </row>
    <row r="1201" spans="14:19" ht="27.95" customHeight="1">
      <c r="N1201" s="553"/>
      <c r="O1201" s="553"/>
      <c r="P1201" s="553"/>
      <c r="Q1201" s="553"/>
      <c r="R1201" s="553"/>
      <c r="S1201" s="553"/>
    </row>
    <row r="1202" spans="14:19" ht="27.95" customHeight="1">
      <c r="N1202" s="553"/>
      <c r="O1202" s="553"/>
      <c r="P1202" s="553"/>
      <c r="Q1202" s="553"/>
      <c r="R1202" s="553"/>
      <c r="S1202" s="553"/>
    </row>
    <row r="1203" spans="14:19" ht="27.95" customHeight="1">
      <c r="N1203" s="553"/>
      <c r="O1203" s="553"/>
      <c r="P1203" s="553"/>
      <c r="Q1203" s="553"/>
      <c r="R1203" s="553"/>
      <c r="S1203" s="553"/>
    </row>
    <row r="1204" spans="14:19" ht="27.95" customHeight="1">
      <c r="N1204" s="553"/>
      <c r="O1204" s="553"/>
      <c r="P1204" s="553"/>
      <c r="Q1204" s="553"/>
      <c r="R1204" s="553"/>
      <c r="S1204" s="553"/>
    </row>
    <row r="1205" spans="14:19" ht="27.95" customHeight="1">
      <c r="N1205" s="553"/>
      <c r="O1205" s="553"/>
      <c r="P1205" s="553"/>
      <c r="Q1205" s="553"/>
      <c r="R1205" s="553"/>
      <c r="S1205" s="553"/>
    </row>
    <row r="1206" spans="14:19" ht="27.95" customHeight="1">
      <c r="N1206" s="553"/>
      <c r="O1206" s="553"/>
      <c r="P1206" s="553"/>
      <c r="Q1206" s="553"/>
      <c r="R1206" s="553"/>
      <c r="S1206" s="553"/>
    </row>
    <row r="1207" spans="14:19" ht="27.95" customHeight="1">
      <c r="N1207" s="553"/>
      <c r="O1207" s="553"/>
      <c r="P1207" s="553"/>
      <c r="Q1207" s="553"/>
      <c r="R1207" s="553"/>
      <c r="S1207" s="553"/>
    </row>
    <row r="1208" spans="14:19" ht="27.95" customHeight="1">
      <c r="N1208" s="553"/>
      <c r="O1208" s="553"/>
      <c r="P1208" s="553"/>
      <c r="Q1208" s="553"/>
      <c r="R1208" s="553"/>
      <c r="S1208" s="553"/>
    </row>
    <row r="1209" spans="14:19" ht="27.95" customHeight="1">
      <c r="N1209" s="553"/>
      <c r="O1209" s="553"/>
      <c r="P1209" s="553"/>
      <c r="Q1209" s="553"/>
      <c r="R1209" s="553"/>
      <c r="S1209" s="553"/>
    </row>
    <row r="1210" spans="14:19" ht="27.95" customHeight="1">
      <c r="N1210" s="553"/>
      <c r="O1210" s="553"/>
      <c r="P1210" s="553"/>
      <c r="Q1210" s="553"/>
      <c r="R1210" s="553"/>
      <c r="S1210" s="553"/>
    </row>
    <row r="1211" spans="14:19" ht="27.95" customHeight="1">
      <c r="N1211" s="553"/>
      <c r="O1211" s="553"/>
      <c r="P1211" s="553"/>
      <c r="Q1211" s="553"/>
      <c r="R1211" s="553"/>
      <c r="S1211" s="553"/>
    </row>
    <row r="1212" spans="14:19" ht="27.95" customHeight="1">
      <c r="N1212" s="553"/>
      <c r="O1212" s="553"/>
      <c r="P1212" s="553"/>
      <c r="Q1212" s="553"/>
      <c r="R1212" s="553"/>
      <c r="S1212" s="553"/>
    </row>
    <row r="1213" spans="14:19" ht="27.95" customHeight="1">
      <c r="N1213" s="553"/>
      <c r="O1213" s="553"/>
      <c r="P1213" s="553"/>
      <c r="Q1213" s="553"/>
      <c r="R1213" s="553"/>
      <c r="S1213" s="553"/>
    </row>
    <row r="1214" spans="14:19" ht="27.95" customHeight="1">
      <c r="N1214" s="553"/>
      <c r="O1214" s="553"/>
      <c r="P1214" s="553"/>
      <c r="Q1214" s="553"/>
      <c r="R1214" s="553"/>
      <c r="S1214" s="553"/>
    </row>
    <row r="1215" spans="14:19" ht="27.95" customHeight="1">
      <c r="N1215" s="553"/>
      <c r="O1215" s="553"/>
      <c r="P1215" s="553"/>
      <c r="Q1215" s="553"/>
      <c r="R1215" s="553"/>
      <c r="S1215" s="553"/>
    </row>
    <row r="1216" spans="14:19" ht="27.95" customHeight="1">
      <c r="N1216" s="553"/>
      <c r="O1216" s="553"/>
      <c r="P1216" s="553"/>
      <c r="Q1216" s="553"/>
      <c r="R1216" s="553"/>
      <c r="S1216" s="553"/>
    </row>
    <row r="1217" spans="14:19" ht="27.95" customHeight="1">
      <c r="N1217" s="553"/>
      <c r="O1217" s="553"/>
      <c r="P1217" s="553"/>
      <c r="Q1217" s="553"/>
      <c r="R1217" s="553"/>
      <c r="S1217" s="553"/>
    </row>
    <row r="1218" spans="14:19" ht="27.95" customHeight="1">
      <c r="N1218" s="553"/>
      <c r="O1218" s="553"/>
      <c r="P1218" s="553"/>
      <c r="Q1218" s="553"/>
      <c r="R1218" s="553"/>
      <c r="S1218" s="553"/>
    </row>
    <row r="1219" spans="14:19" ht="27.95" customHeight="1">
      <c r="N1219" s="553"/>
      <c r="O1219" s="553"/>
      <c r="P1219" s="553"/>
      <c r="Q1219" s="553"/>
      <c r="R1219" s="553"/>
      <c r="S1219" s="553"/>
    </row>
    <row r="1220" spans="14:19" ht="27.95" customHeight="1">
      <c r="N1220" s="553"/>
      <c r="O1220" s="553"/>
      <c r="P1220" s="553"/>
      <c r="Q1220" s="553"/>
      <c r="R1220" s="553"/>
      <c r="S1220" s="553"/>
    </row>
    <row r="1221" spans="14:19" ht="27.95" customHeight="1">
      <c r="N1221" s="553"/>
      <c r="O1221" s="553"/>
      <c r="P1221" s="553"/>
      <c r="Q1221" s="553"/>
      <c r="R1221" s="553"/>
      <c r="S1221" s="553"/>
    </row>
    <row r="1222" spans="14:19" ht="27.95" customHeight="1">
      <c r="N1222" s="553"/>
      <c r="O1222" s="553"/>
      <c r="P1222" s="553"/>
      <c r="Q1222" s="553"/>
      <c r="R1222" s="553"/>
      <c r="S1222" s="553"/>
    </row>
    <row r="1223" spans="14:19" ht="27.95" customHeight="1">
      <c r="N1223" s="553"/>
      <c r="O1223" s="553"/>
      <c r="P1223" s="553"/>
      <c r="Q1223" s="553"/>
      <c r="R1223" s="553"/>
      <c r="S1223" s="553"/>
    </row>
    <row r="1224" spans="14:19" ht="27.95" customHeight="1">
      <c r="N1224" s="553"/>
      <c r="O1224" s="553"/>
      <c r="P1224" s="553"/>
      <c r="Q1224" s="553"/>
      <c r="R1224" s="553"/>
      <c r="S1224" s="553"/>
    </row>
    <row r="1225" spans="14:19" ht="27.95" customHeight="1">
      <c r="N1225" s="553"/>
      <c r="O1225" s="553"/>
      <c r="P1225" s="553"/>
      <c r="Q1225" s="553"/>
      <c r="R1225" s="553"/>
      <c r="S1225" s="553"/>
    </row>
    <row r="1226" spans="14:19" ht="27.95" customHeight="1">
      <c r="N1226" s="553"/>
      <c r="O1226" s="553"/>
      <c r="P1226" s="553"/>
      <c r="Q1226" s="553"/>
      <c r="R1226" s="553"/>
      <c r="S1226" s="553"/>
    </row>
    <row r="1227" spans="14:19" ht="27.95" customHeight="1">
      <c r="N1227" s="553"/>
      <c r="O1227" s="553"/>
      <c r="P1227" s="553"/>
      <c r="Q1227" s="553"/>
      <c r="R1227" s="553"/>
      <c r="S1227" s="553"/>
    </row>
    <row r="1228" spans="14:19" ht="27.95" customHeight="1">
      <c r="N1228" s="553"/>
      <c r="O1228" s="553"/>
      <c r="P1228" s="553"/>
      <c r="Q1228" s="553"/>
      <c r="R1228" s="553"/>
      <c r="S1228" s="553"/>
    </row>
    <row r="1229" spans="14:19" ht="27.95" customHeight="1">
      <c r="N1229" s="553"/>
      <c r="O1229" s="553"/>
      <c r="P1229" s="553"/>
      <c r="Q1229" s="553"/>
      <c r="R1229" s="553"/>
      <c r="S1229" s="553"/>
    </row>
    <row r="1230" spans="14:19" ht="27.95" customHeight="1">
      <c r="N1230" s="553"/>
      <c r="O1230" s="553"/>
      <c r="P1230" s="553"/>
      <c r="Q1230" s="553"/>
      <c r="R1230" s="553"/>
      <c r="S1230" s="553"/>
    </row>
    <row r="1231" spans="14:19" ht="27.95" customHeight="1">
      <c r="N1231" s="553"/>
      <c r="O1231" s="553"/>
      <c r="P1231" s="553"/>
      <c r="Q1231" s="553"/>
      <c r="R1231" s="553"/>
      <c r="S1231" s="553"/>
    </row>
    <row r="1232" spans="14:19" ht="27.95" customHeight="1">
      <c r="N1232" s="553"/>
      <c r="O1232" s="553"/>
      <c r="P1232" s="553"/>
      <c r="Q1232" s="553"/>
      <c r="R1232" s="553"/>
      <c r="S1232" s="553"/>
    </row>
    <row r="1233" spans="14:19" ht="27.95" customHeight="1">
      <c r="N1233" s="553"/>
      <c r="O1233" s="553"/>
      <c r="P1233" s="553"/>
      <c r="Q1233" s="553"/>
      <c r="R1233" s="553"/>
      <c r="S1233" s="553"/>
    </row>
    <row r="1234" spans="14:19" ht="27.95" customHeight="1">
      <c r="N1234" s="553"/>
      <c r="O1234" s="553"/>
      <c r="P1234" s="553"/>
      <c r="Q1234" s="553"/>
      <c r="R1234" s="553"/>
      <c r="S1234" s="553"/>
    </row>
    <row r="1235" spans="14:19" ht="27.95" customHeight="1">
      <c r="N1235" s="553"/>
      <c r="O1235" s="553"/>
      <c r="P1235" s="553"/>
      <c r="Q1235" s="553"/>
      <c r="R1235" s="553"/>
      <c r="S1235" s="553"/>
    </row>
    <row r="1236" spans="14:19" ht="27.95" customHeight="1">
      <c r="N1236" s="553"/>
      <c r="O1236" s="553"/>
      <c r="P1236" s="553"/>
      <c r="Q1236" s="553"/>
      <c r="R1236" s="553"/>
      <c r="S1236" s="553"/>
    </row>
    <row r="1237" spans="14:19" ht="27.95" customHeight="1">
      <c r="N1237" s="553"/>
      <c r="O1237" s="553"/>
      <c r="P1237" s="553"/>
      <c r="Q1237" s="553"/>
      <c r="R1237" s="553"/>
      <c r="S1237" s="553"/>
    </row>
    <row r="1238" spans="14:19" ht="27.95" customHeight="1">
      <c r="N1238" s="553"/>
      <c r="O1238" s="553"/>
      <c r="P1238" s="553"/>
      <c r="Q1238" s="553"/>
      <c r="R1238" s="553"/>
      <c r="S1238" s="553"/>
    </row>
    <row r="1239" spans="14:19" ht="27.95" customHeight="1">
      <c r="N1239" s="553"/>
      <c r="O1239" s="553"/>
      <c r="P1239" s="553"/>
      <c r="Q1239" s="553"/>
      <c r="R1239" s="553"/>
      <c r="S1239" s="553"/>
    </row>
    <row r="1240" spans="14:19" ht="27.95" customHeight="1">
      <c r="N1240" s="553"/>
      <c r="O1240" s="553"/>
      <c r="P1240" s="553"/>
      <c r="Q1240" s="553"/>
      <c r="R1240" s="553"/>
      <c r="S1240" s="553"/>
    </row>
    <row r="1241" spans="14:19" ht="27.95" customHeight="1">
      <c r="N1241" s="553"/>
      <c r="O1241" s="553"/>
      <c r="P1241" s="553"/>
      <c r="Q1241" s="553"/>
      <c r="R1241" s="553"/>
      <c r="S1241" s="553"/>
    </row>
    <row r="1242" spans="14:19" ht="27.95" customHeight="1">
      <c r="N1242" s="553"/>
      <c r="O1242" s="553"/>
      <c r="P1242" s="553"/>
      <c r="Q1242" s="553"/>
      <c r="R1242" s="553"/>
      <c r="S1242" s="553"/>
    </row>
    <row r="1243" spans="14:19" ht="27.95" customHeight="1">
      <c r="N1243" s="553"/>
      <c r="O1243" s="553"/>
      <c r="P1243" s="553"/>
      <c r="Q1243" s="553"/>
      <c r="R1243" s="553"/>
      <c r="S1243" s="553"/>
    </row>
    <row r="1244" spans="14:19" ht="27.95" customHeight="1">
      <c r="N1244" s="553"/>
      <c r="O1244" s="553"/>
      <c r="P1244" s="553"/>
      <c r="Q1244" s="553"/>
      <c r="R1244" s="553"/>
      <c r="S1244" s="553"/>
    </row>
    <row r="1245" spans="14:19" ht="27.95" customHeight="1">
      <c r="N1245" s="553"/>
      <c r="O1245" s="553"/>
      <c r="P1245" s="553"/>
      <c r="Q1245" s="553"/>
      <c r="R1245" s="553"/>
      <c r="S1245" s="553"/>
    </row>
    <row r="1246" spans="14:19" ht="27.95" customHeight="1">
      <c r="N1246" s="553"/>
      <c r="O1246" s="553"/>
      <c r="P1246" s="553"/>
      <c r="Q1246" s="553"/>
      <c r="R1246" s="553"/>
      <c r="S1246" s="553"/>
    </row>
    <row r="1247" spans="14:19" ht="27.95" customHeight="1">
      <c r="N1247" s="553"/>
      <c r="O1247" s="553"/>
      <c r="P1247" s="553"/>
      <c r="Q1247" s="553"/>
      <c r="R1247" s="553"/>
      <c r="S1247" s="553"/>
    </row>
    <row r="1248" spans="14:19" ht="27.95" customHeight="1">
      <c r="N1248" s="553"/>
      <c r="O1248" s="553"/>
      <c r="P1248" s="553"/>
      <c r="Q1248" s="553"/>
      <c r="R1248" s="553"/>
      <c r="S1248" s="553"/>
    </row>
    <row r="1249" spans="14:19" ht="27.95" customHeight="1">
      <c r="N1249" s="553"/>
      <c r="O1249" s="553"/>
      <c r="P1249" s="553"/>
      <c r="Q1249" s="553"/>
      <c r="R1249" s="553"/>
      <c r="S1249" s="553"/>
    </row>
    <row r="1250" spans="14:19" ht="27.95" customHeight="1">
      <c r="N1250" s="553"/>
      <c r="O1250" s="553"/>
      <c r="P1250" s="553"/>
      <c r="Q1250" s="553"/>
      <c r="R1250" s="553"/>
      <c r="S1250" s="553"/>
    </row>
    <row r="1251" spans="14:19" ht="27.95" customHeight="1">
      <c r="N1251" s="553"/>
      <c r="O1251" s="553"/>
      <c r="P1251" s="553"/>
      <c r="Q1251" s="553"/>
      <c r="R1251" s="553"/>
      <c r="S1251" s="553"/>
    </row>
    <row r="1252" spans="14:19" ht="27.95" customHeight="1">
      <c r="N1252" s="553"/>
      <c r="O1252" s="553"/>
      <c r="P1252" s="553"/>
      <c r="Q1252" s="553"/>
      <c r="R1252" s="553"/>
      <c r="S1252" s="553"/>
    </row>
    <row r="1253" spans="14:19" ht="27.95" customHeight="1">
      <c r="N1253" s="553"/>
      <c r="O1253" s="553"/>
      <c r="P1253" s="553"/>
      <c r="Q1253" s="553"/>
      <c r="R1253" s="553"/>
      <c r="S1253" s="553"/>
    </row>
    <row r="1254" spans="14:19" ht="27.95" customHeight="1">
      <c r="N1254" s="553"/>
      <c r="O1254" s="553"/>
      <c r="P1254" s="553"/>
      <c r="Q1254" s="553"/>
      <c r="R1254" s="553"/>
      <c r="S1254" s="553"/>
    </row>
    <row r="1255" spans="14:19" ht="27.95" customHeight="1">
      <c r="N1255" s="553"/>
      <c r="O1255" s="553"/>
      <c r="P1255" s="553"/>
      <c r="Q1255" s="553"/>
      <c r="R1255" s="553"/>
      <c r="S1255" s="553"/>
    </row>
    <row r="1256" spans="14:19" ht="27.95" customHeight="1">
      <c r="N1256" s="553"/>
      <c r="O1256" s="553"/>
      <c r="P1256" s="553"/>
      <c r="Q1256" s="553"/>
      <c r="R1256" s="553"/>
      <c r="S1256" s="553"/>
    </row>
    <row r="1257" spans="14:19" ht="27.95" customHeight="1">
      <c r="N1257" s="553"/>
      <c r="O1257" s="553"/>
      <c r="P1257" s="553"/>
      <c r="Q1257" s="553"/>
      <c r="R1257" s="553"/>
      <c r="S1257" s="553"/>
    </row>
    <row r="1258" spans="14:19" ht="27.95" customHeight="1">
      <c r="N1258" s="553"/>
      <c r="O1258" s="553"/>
      <c r="P1258" s="553"/>
      <c r="Q1258" s="553"/>
      <c r="R1258" s="553"/>
      <c r="S1258" s="553"/>
    </row>
    <row r="1259" spans="14:19" ht="27.95" customHeight="1">
      <c r="N1259" s="553"/>
      <c r="O1259" s="553"/>
      <c r="P1259" s="553"/>
      <c r="Q1259" s="553"/>
      <c r="R1259" s="553"/>
      <c r="S1259" s="553"/>
    </row>
    <row r="1260" spans="14:19" ht="27.95" customHeight="1">
      <c r="N1260" s="553"/>
      <c r="O1260" s="553"/>
      <c r="P1260" s="553"/>
      <c r="Q1260" s="553"/>
      <c r="R1260" s="553"/>
      <c r="S1260" s="553"/>
    </row>
    <row r="1261" spans="14:19" ht="27.95" customHeight="1">
      <c r="N1261" s="553"/>
      <c r="O1261" s="553"/>
      <c r="P1261" s="553"/>
      <c r="Q1261" s="553"/>
      <c r="R1261" s="553"/>
      <c r="S1261" s="553"/>
    </row>
    <row r="1262" spans="14:19" ht="27.95" customHeight="1">
      <c r="N1262" s="553"/>
      <c r="O1262" s="553"/>
      <c r="P1262" s="553"/>
      <c r="Q1262" s="553"/>
      <c r="R1262" s="553"/>
      <c r="S1262" s="553"/>
    </row>
    <row r="1263" spans="14:19" ht="27.95" customHeight="1">
      <c r="N1263" s="553"/>
      <c r="O1263" s="553"/>
      <c r="P1263" s="553"/>
      <c r="Q1263" s="553"/>
      <c r="R1263" s="553"/>
      <c r="S1263" s="553"/>
    </row>
    <row r="1264" spans="14:19" ht="27.95" customHeight="1">
      <c r="N1264" s="553"/>
      <c r="O1264" s="553"/>
      <c r="P1264" s="553"/>
      <c r="Q1264" s="553"/>
      <c r="R1264" s="553"/>
      <c r="S1264" s="553"/>
    </row>
    <row r="1265" spans="14:19" ht="27.95" customHeight="1">
      <c r="N1265" s="553"/>
      <c r="O1265" s="553"/>
      <c r="P1265" s="553"/>
      <c r="Q1265" s="553"/>
      <c r="R1265" s="553"/>
      <c r="S1265" s="553"/>
    </row>
    <row r="1266" spans="14:19" ht="27.95" customHeight="1">
      <c r="N1266" s="553"/>
      <c r="O1266" s="553"/>
      <c r="P1266" s="553"/>
      <c r="Q1266" s="553"/>
      <c r="R1266" s="553"/>
      <c r="S1266" s="553"/>
    </row>
    <row r="1267" spans="14:19" ht="27.95" customHeight="1">
      <c r="N1267" s="553"/>
      <c r="O1267" s="553"/>
      <c r="P1267" s="553"/>
      <c r="Q1267" s="553"/>
      <c r="R1267" s="553"/>
      <c r="S1267" s="553"/>
    </row>
    <row r="1268" spans="14:19" ht="27.95" customHeight="1">
      <c r="N1268" s="553"/>
      <c r="O1268" s="553"/>
      <c r="P1268" s="553"/>
      <c r="Q1268" s="553"/>
      <c r="R1268" s="553"/>
      <c r="S1268" s="553"/>
    </row>
    <row r="1269" spans="14:19" ht="27.95" customHeight="1">
      <c r="N1269" s="553"/>
      <c r="O1269" s="553"/>
      <c r="P1269" s="553"/>
      <c r="Q1269" s="553"/>
      <c r="R1269" s="553"/>
      <c r="S1269" s="553"/>
    </row>
    <row r="1270" spans="14:19" ht="27.95" customHeight="1">
      <c r="N1270" s="553"/>
      <c r="O1270" s="553"/>
      <c r="P1270" s="553"/>
      <c r="Q1270" s="553"/>
      <c r="R1270" s="553"/>
      <c r="S1270" s="553"/>
    </row>
    <row r="1271" spans="14:19" ht="27.95" customHeight="1">
      <c r="N1271" s="553"/>
      <c r="O1271" s="553"/>
      <c r="P1271" s="553"/>
      <c r="Q1271" s="553"/>
      <c r="R1271" s="553"/>
      <c r="S1271" s="553"/>
    </row>
    <row r="1272" spans="14:19" ht="27.95" customHeight="1">
      <c r="N1272" s="553"/>
      <c r="O1272" s="553"/>
      <c r="P1272" s="553"/>
      <c r="Q1272" s="553"/>
      <c r="R1272" s="553"/>
      <c r="S1272" s="553"/>
    </row>
    <row r="1273" spans="14:19" ht="27.95" customHeight="1">
      <c r="N1273" s="553"/>
      <c r="O1273" s="553"/>
      <c r="P1273" s="553"/>
      <c r="Q1273" s="553"/>
      <c r="R1273" s="553"/>
      <c r="S1273" s="553"/>
    </row>
    <row r="1274" spans="14:19" ht="27.95" customHeight="1">
      <c r="N1274" s="553"/>
      <c r="O1274" s="553"/>
      <c r="P1274" s="553"/>
      <c r="Q1274" s="553"/>
      <c r="R1274" s="553"/>
      <c r="S1274" s="553"/>
    </row>
    <row r="1275" spans="14:19" ht="27.95" customHeight="1">
      <c r="N1275" s="553"/>
      <c r="O1275" s="553"/>
      <c r="P1275" s="553"/>
      <c r="Q1275" s="553"/>
      <c r="R1275" s="553"/>
      <c r="S1275" s="553"/>
    </row>
    <row r="1276" spans="14:19" ht="27.95" customHeight="1">
      <c r="N1276" s="553"/>
      <c r="O1276" s="553"/>
      <c r="P1276" s="553"/>
      <c r="Q1276" s="553"/>
      <c r="R1276" s="553"/>
      <c r="S1276" s="553"/>
    </row>
    <row r="1277" spans="14:19" ht="27.95" customHeight="1">
      <c r="N1277" s="553"/>
      <c r="O1277" s="553"/>
      <c r="P1277" s="553"/>
      <c r="Q1277" s="553"/>
      <c r="R1277" s="553"/>
      <c r="S1277" s="553"/>
    </row>
    <row r="1278" spans="14:19" ht="27.95" customHeight="1">
      <c r="N1278" s="553"/>
      <c r="O1278" s="553"/>
      <c r="P1278" s="553"/>
      <c r="Q1278" s="553"/>
      <c r="R1278" s="553"/>
      <c r="S1278" s="553"/>
    </row>
    <row r="1279" spans="14:19" ht="27.95" customHeight="1">
      <c r="N1279" s="553"/>
      <c r="O1279" s="553"/>
      <c r="P1279" s="553"/>
      <c r="Q1279" s="553"/>
      <c r="R1279" s="553"/>
      <c r="S1279" s="553"/>
    </row>
    <row r="1280" spans="14:19" ht="27.95" customHeight="1">
      <c r="N1280" s="553"/>
      <c r="O1280" s="553"/>
      <c r="P1280" s="553"/>
      <c r="Q1280" s="553"/>
      <c r="R1280" s="553"/>
      <c r="S1280" s="553"/>
    </row>
    <row r="1281" spans="14:19" ht="27.95" customHeight="1">
      <c r="N1281" s="553"/>
      <c r="O1281" s="553"/>
      <c r="P1281" s="553"/>
      <c r="Q1281" s="553"/>
      <c r="R1281" s="553"/>
      <c r="S1281" s="553"/>
    </row>
    <row r="1282" spans="14:19" ht="27.95" customHeight="1">
      <c r="N1282" s="553"/>
      <c r="O1282" s="553"/>
      <c r="P1282" s="553"/>
      <c r="Q1282" s="553"/>
      <c r="R1282" s="553"/>
      <c r="S1282" s="553"/>
    </row>
    <row r="1283" spans="14:19" ht="27.95" customHeight="1">
      <c r="N1283" s="553"/>
      <c r="O1283" s="553"/>
      <c r="P1283" s="553"/>
      <c r="Q1283" s="553"/>
      <c r="R1283" s="553"/>
      <c r="S1283" s="553"/>
    </row>
    <row r="1284" spans="14:19" ht="27.95" customHeight="1">
      <c r="N1284" s="553"/>
      <c r="O1284" s="553"/>
      <c r="P1284" s="553"/>
      <c r="Q1284" s="553"/>
      <c r="R1284" s="553"/>
      <c r="S1284" s="553"/>
    </row>
    <row r="1285" spans="14:19" ht="27.95" customHeight="1">
      <c r="N1285" s="553"/>
      <c r="O1285" s="553"/>
      <c r="P1285" s="553"/>
      <c r="Q1285" s="553"/>
      <c r="R1285" s="553"/>
      <c r="S1285" s="553"/>
    </row>
    <row r="1286" spans="14:19" ht="27.95" customHeight="1">
      <c r="N1286" s="553"/>
      <c r="O1286" s="553"/>
      <c r="P1286" s="553"/>
      <c r="Q1286" s="553"/>
      <c r="R1286" s="553"/>
      <c r="S1286" s="553"/>
    </row>
    <row r="1287" spans="14:19" ht="27.95" customHeight="1">
      <c r="N1287" s="553"/>
      <c r="O1287" s="553"/>
      <c r="P1287" s="553"/>
      <c r="Q1287" s="553"/>
      <c r="R1287" s="553"/>
      <c r="S1287" s="553"/>
    </row>
    <row r="1288" spans="14:19" ht="27.95" customHeight="1">
      <c r="N1288" s="553"/>
      <c r="O1288" s="553"/>
      <c r="P1288" s="553"/>
      <c r="Q1288" s="553"/>
      <c r="R1288" s="553"/>
      <c r="S1288" s="553"/>
    </row>
    <row r="1289" spans="14:19" ht="27.95" customHeight="1">
      <c r="N1289" s="553"/>
      <c r="O1289" s="553"/>
      <c r="P1289" s="553"/>
      <c r="Q1289" s="553"/>
      <c r="R1289" s="553"/>
      <c r="S1289" s="553"/>
    </row>
    <row r="1290" spans="14:19" ht="27.95" customHeight="1">
      <c r="N1290" s="553"/>
      <c r="O1290" s="553"/>
      <c r="P1290" s="553"/>
      <c r="Q1290" s="553"/>
      <c r="R1290" s="553"/>
      <c r="S1290" s="553"/>
    </row>
    <row r="1291" spans="14:19" ht="27.95" customHeight="1">
      <c r="N1291" s="553"/>
      <c r="O1291" s="553"/>
      <c r="P1291" s="553"/>
      <c r="Q1291" s="553"/>
      <c r="R1291" s="553"/>
      <c r="S1291" s="553"/>
    </row>
    <row r="1292" spans="14:19" ht="27.95" customHeight="1">
      <c r="N1292" s="553"/>
      <c r="O1292" s="553"/>
      <c r="P1292" s="553"/>
      <c r="Q1292" s="553"/>
      <c r="R1292" s="553"/>
      <c r="S1292" s="553"/>
    </row>
    <row r="1293" spans="14:19" ht="27.95" customHeight="1">
      <c r="N1293" s="553"/>
      <c r="O1293" s="553"/>
      <c r="P1293" s="553"/>
      <c r="Q1293" s="553"/>
      <c r="R1293" s="553"/>
      <c r="S1293" s="553"/>
    </row>
    <row r="1294" spans="14:19" ht="27.95" customHeight="1">
      <c r="N1294" s="553"/>
      <c r="O1294" s="553"/>
      <c r="P1294" s="553"/>
      <c r="Q1294" s="553"/>
      <c r="R1294" s="553"/>
      <c r="S1294" s="553"/>
    </row>
    <row r="1295" spans="14:19" ht="27.95" customHeight="1">
      <c r="N1295" s="553"/>
      <c r="O1295" s="553"/>
      <c r="P1295" s="553"/>
      <c r="Q1295" s="553"/>
      <c r="R1295" s="553"/>
      <c r="S1295" s="553"/>
    </row>
    <row r="1296" spans="14:19" ht="27.95" customHeight="1">
      <c r="N1296" s="553"/>
      <c r="O1296" s="553"/>
      <c r="P1296" s="553"/>
      <c r="Q1296" s="553"/>
      <c r="R1296" s="553"/>
      <c r="S1296" s="553"/>
    </row>
    <row r="1297" spans="14:19" ht="27.95" customHeight="1">
      <c r="N1297" s="553"/>
      <c r="O1297" s="553"/>
      <c r="P1297" s="553"/>
      <c r="Q1297" s="553"/>
      <c r="R1297" s="553"/>
      <c r="S1297" s="553"/>
    </row>
    <row r="1298" spans="14:19" ht="27.95" customHeight="1">
      <c r="N1298" s="553"/>
      <c r="O1298" s="553"/>
      <c r="P1298" s="553"/>
      <c r="Q1298" s="553"/>
      <c r="R1298" s="553"/>
      <c r="S1298" s="553"/>
    </row>
    <row r="1299" spans="14:19" ht="27.95" customHeight="1">
      <c r="N1299" s="553"/>
      <c r="O1299" s="553"/>
      <c r="P1299" s="553"/>
      <c r="Q1299" s="553"/>
      <c r="R1299" s="553"/>
      <c r="S1299" s="553"/>
    </row>
    <row r="1300" spans="14:19" ht="27.95" customHeight="1">
      <c r="N1300" s="553"/>
      <c r="O1300" s="553"/>
      <c r="P1300" s="553"/>
      <c r="Q1300" s="553"/>
      <c r="R1300" s="553"/>
      <c r="S1300" s="553"/>
    </row>
    <row r="1301" spans="14:19" ht="27.95" customHeight="1">
      <c r="N1301" s="553"/>
      <c r="O1301" s="553"/>
      <c r="P1301" s="553"/>
      <c r="Q1301" s="553"/>
      <c r="R1301" s="553"/>
      <c r="S1301" s="553"/>
    </row>
    <row r="1302" spans="14:19" ht="27.95" customHeight="1">
      <c r="N1302" s="553"/>
      <c r="O1302" s="553"/>
      <c r="P1302" s="553"/>
      <c r="Q1302" s="553"/>
      <c r="R1302" s="553"/>
      <c r="S1302" s="553"/>
    </row>
    <row r="1303" spans="14:19" ht="27.95" customHeight="1">
      <c r="N1303" s="553"/>
      <c r="O1303" s="553"/>
      <c r="P1303" s="553"/>
      <c r="Q1303" s="553"/>
      <c r="R1303" s="553"/>
      <c r="S1303" s="553"/>
    </row>
    <row r="1304" spans="14:19" ht="27.95" customHeight="1">
      <c r="N1304" s="553"/>
      <c r="O1304" s="553"/>
      <c r="P1304" s="553"/>
      <c r="Q1304" s="553"/>
      <c r="R1304" s="553"/>
      <c r="S1304" s="553"/>
    </row>
    <row r="1305" spans="14:19" ht="27.95" customHeight="1">
      <c r="N1305" s="553"/>
      <c r="O1305" s="553"/>
      <c r="P1305" s="553"/>
      <c r="Q1305" s="553"/>
      <c r="R1305" s="553"/>
      <c r="S1305" s="553"/>
    </row>
    <row r="1306" spans="14:19" ht="27.95" customHeight="1">
      <c r="N1306" s="553"/>
      <c r="O1306" s="553"/>
      <c r="P1306" s="553"/>
      <c r="Q1306" s="553"/>
      <c r="R1306" s="553"/>
      <c r="S1306" s="553"/>
    </row>
    <row r="1307" spans="14:19" ht="27.95" customHeight="1">
      <c r="N1307" s="553"/>
      <c r="O1307" s="553"/>
      <c r="P1307" s="553"/>
      <c r="Q1307" s="553"/>
      <c r="R1307" s="553"/>
      <c r="S1307" s="553"/>
    </row>
    <row r="1308" spans="14:19" ht="27.95" customHeight="1">
      <c r="N1308" s="553"/>
      <c r="O1308" s="553"/>
      <c r="P1308" s="553"/>
      <c r="Q1308" s="553"/>
      <c r="R1308" s="553"/>
      <c r="S1308" s="553"/>
    </row>
    <row r="1309" spans="14:19" ht="27.95" customHeight="1">
      <c r="N1309" s="553"/>
      <c r="O1309" s="553"/>
      <c r="P1309" s="553"/>
      <c r="Q1309" s="553"/>
      <c r="R1309" s="553"/>
      <c r="S1309" s="553"/>
    </row>
    <row r="1310" spans="14:19" ht="27.95" customHeight="1">
      <c r="N1310" s="553"/>
      <c r="O1310" s="553"/>
      <c r="P1310" s="553"/>
      <c r="Q1310" s="553"/>
      <c r="R1310" s="553"/>
      <c r="S1310" s="553"/>
    </row>
    <row r="1311" spans="14:19" ht="27.95" customHeight="1">
      <c r="N1311" s="553"/>
      <c r="O1311" s="553"/>
      <c r="P1311" s="553"/>
      <c r="Q1311" s="553"/>
      <c r="R1311" s="553"/>
      <c r="S1311" s="553"/>
    </row>
    <row r="1312" spans="14:19" ht="27.95" customHeight="1">
      <c r="N1312" s="553"/>
      <c r="O1312" s="553"/>
      <c r="P1312" s="553"/>
      <c r="Q1312" s="553"/>
      <c r="R1312" s="553"/>
      <c r="S1312" s="553"/>
    </row>
    <row r="1313" spans="14:19" ht="27.95" customHeight="1">
      <c r="N1313" s="553"/>
      <c r="O1313" s="553"/>
      <c r="P1313" s="553"/>
      <c r="Q1313" s="553"/>
      <c r="R1313" s="553"/>
      <c r="S1313" s="553"/>
    </row>
    <row r="1314" spans="14:19" ht="27.95" customHeight="1">
      <c r="N1314" s="553"/>
      <c r="O1314" s="553"/>
      <c r="P1314" s="553"/>
      <c r="Q1314" s="553"/>
      <c r="R1314" s="553"/>
      <c r="S1314" s="553"/>
    </row>
    <row r="1315" spans="14:19" ht="27.95" customHeight="1">
      <c r="N1315" s="553"/>
      <c r="O1315" s="553"/>
      <c r="P1315" s="553"/>
      <c r="Q1315" s="553"/>
      <c r="R1315" s="553"/>
      <c r="S1315" s="553"/>
    </row>
    <row r="1316" spans="14:19" ht="27.95" customHeight="1">
      <c r="N1316" s="553"/>
      <c r="O1316" s="553"/>
      <c r="P1316" s="553"/>
      <c r="Q1316" s="553"/>
      <c r="R1316" s="553"/>
      <c r="S1316" s="553"/>
    </row>
    <row r="1317" spans="14:19" ht="27.95" customHeight="1">
      <c r="N1317" s="553"/>
      <c r="O1317" s="553"/>
      <c r="P1317" s="553"/>
      <c r="Q1317" s="553"/>
      <c r="R1317" s="553"/>
      <c r="S1317" s="553"/>
    </row>
    <row r="1318" spans="14:19" ht="27.95" customHeight="1">
      <c r="N1318" s="553"/>
      <c r="O1318" s="553"/>
      <c r="P1318" s="553"/>
      <c r="Q1318" s="553"/>
      <c r="R1318" s="553"/>
      <c r="S1318" s="553"/>
    </row>
    <row r="1319" spans="14:19" ht="27.95" customHeight="1">
      <c r="N1319" s="553"/>
      <c r="O1319" s="553"/>
      <c r="P1319" s="553"/>
      <c r="Q1319" s="553"/>
      <c r="R1319" s="553"/>
      <c r="S1319" s="553"/>
    </row>
    <row r="1320" spans="14:19" ht="27.95" customHeight="1">
      <c r="N1320" s="553"/>
      <c r="O1320" s="553"/>
      <c r="P1320" s="553"/>
      <c r="Q1320" s="553"/>
      <c r="R1320" s="553"/>
      <c r="S1320" s="553"/>
    </row>
    <row r="1321" spans="14:19" ht="27.95" customHeight="1">
      <c r="N1321" s="553"/>
      <c r="O1321" s="553"/>
      <c r="P1321" s="553"/>
      <c r="Q1321" s="553"/>
      <c r="R1321" s="553"/>
      <c r="S1321" s="553"/>
    </row>
    <row r="1322" spans="14:19" ht="27.95" customHeight="1">
      <c r="N1322" s="553"/>
      <c r="O1322" s="553"/>
      <c r="P1322" s="553"/>
      <c r="Q1322" s="553"/>
      <c r="R1322" s="553"/>
      <c r="S1322" s="553"/>
    </row>
    <row r="1323" spans="14:19" ht="27.95" customHeight="1">
      <c r="N1323" s="553"/>
      <c r="O1323" s="553"/>
      <c r="P1323" s="553"/>
      <c r="Q1323" s="553"/>
      <c r="R1323" s="553"/>
      <c r="S1323" s="553"/>
    </row>
    <row r="1324" spans="14:19" ht="27.95" customHeight="1">
      <c r="N1324" s="553"/>
      <c r="O1324" s="553"/>
      <c r="P1324" s="553"/>
      <c r="Q1324" s="553"/>
      <c r="R1324" s="553"/>
      <c r="S1324" s="553"/>
    </row>
    <row r="1325" spans="14:19" ht="27.95" customHeight="1">
      <c r="N1325" s="553"/>
      <c r="O1325" s="553"/>
      <c r="P1325" s="553"/>
      <c r="Q1325" s="553"/>
      <c r="R1325" s="553"/>
      <c r="S1325" s="553"/>
    </row>
    <row r="1326" spans="14:19" ht="27.95" customHeight="1">
      <c r="N1326" s="553"/>
      <c r="O1326" s="553"/>
      <c r="P1326" s="553"/>
      <c r="Q1326" s="553"/>
      <c r="R1326" s="553"/>
      <c r="S1326" s="553"/>
    </row>
    <row r="1327" spans="14:19" ht="27.95" customHeight="1">
      <c r="N1327" s="553"/>
      <c r="O1327" s="553"/>
      <c r="P1327" s="553"/>
      <c r="Q1327" s="553"/>
      <c r="R1327" s="553"/>
      <c r="S1327" s="553"/>
    </row>
    <row r="1328" spans="14:19" ht="27.95" customHeight="1">
      <c r="N1328" s="553"/>
      <c r="O1328" s="553"/>
      <c r="P1328" s="553"/>
      <c r="Q1328" s="553"/>
      <c r="R1328" s="553"/>
      <c r="S1328" s="553"/>
    </row>
    <row r="1329" spans="14:19" ht="27.95" customHeight="1">
      <c r="N1329" s="553"/>
      <c r="O1329" s="553"/>
      <c r="P1329" s="553"/>
      <c r="Q1329" s="553"/>
      <c r="R1329" s="553"/>
      <c r="S1329" s="553"/>
    </row>
    <row r="1330" spans="14:19" ht="27.95" customHeight="1">
      <c r="N1330" s="553"/>
      <c r="O1330" s="553"/>
      <c r="P1330" s="553"/>
      <c r="Q1330" s="553"/>
      <c r="R1330" s="553"/>
      <c r="S1330" s="553"/>
    </row>
    <row r="1331" spans="14:19" ht="27.95" customHeight="1">
      <c r="N1331" s="553"/>
      <c r="O1331" s="553"/>
      <c r="P1331" s="553"/>
      <c r="Q1331" s="553"/>
      <c r="R1331" s="553"/>
      <c r="S1331" s="553"/>
    </row>
    <row r="1332" spans="14:19" ht="27.95" customHeight="1">
      <c r="N1332" s="553"/>
      <c r="O1332" s="553"/>
      <c r="P1332" s="553"/>
      <c r="Q1332" s="553"/>
      <c r="R1332" s="553"/>
      <c r="S1332" s="553"/>
    </row>
    <row r="1333" spans="14:19" ht="27.95" customHeight="1">
      <c r="N1333" s="553"/>
      <c r="O1333" s="553"/>
      <c r="P1333" s="553"/>
      <c r="Q1333" s="553"/>
      <c r="R1333" s="553"/>
      <c r="S1333" s="553"/>
    </row>
    <row r="1334" spans="14:19" ht="27.95" customHeight="1">
      <c r="N1334" s="553"/>
      <c r="O1334" s="553"/>
      <c r="P1334" s="553"/>
      <c r="Q1334" s="553"/>
      <c r="R1334" s="553"/>
      <c r="S1334" s="553"/>
    </row>
    <row r="1335" spans="14:19" ht="27.95" customHeight="1">
      <c r="N1335" s="553"/>
      <c r="O1335" s="553"/>
      <c r="P1335" s="553"/>
      <c r="Q1335" s="553"/>
      <c r="R1335" s="553"/>
      <c r="S1335" s="553"/>
    </row>
    <row r="1336" spans="14:19" ht="27.95" customHeight="1">
      <c r="N1336" s="553"/>
      <c r="O1336" s="553"/>
      <c r="P1336" s="553"/>
      <c r="Q1336" s="553"/>
      <c r="R1336" s="553"/>
      <c r="S1336" s="553"/>
    </row>
    <row r="1337" spans="14:19" ht="27.95" customHeight="1">
      <c r="N1337" s="553"/>
      <c r="O1337" s="553"/>
      <c r="P1337" s="553"/>
      <c r="Q1337" s="553"/>
      <c r="R1337" s="553"/>
      <c r="S1337" s="553"/>
    </row>
    <row r="1338" spans="14:19" ht="27.95" customHeight="1">
      <c r="N1338" s="553"/>
      <c r="O1338" s="553"/>
      <c r="P1338" s="553"/>
      <c r="Q1338" s="553"/>
      <c r="R1338" s="553"/>
      <c r="S1338" s="553"/>
    </row>
    <row r="1339" spans="14:19" ht="27.95" customHeight="1">
      <c r="N1339" s="553"/>
      <c r="O1339" s="553"/>
      <c r="P1339" s="553"/>
      <c r="Q1339" s="553"/>
      <c r="R1339" s="553"/>
      <c r="S1339" s="553"/>
    </row>
    <row r="1340" spans="14:19" ht="27.95" customHeight="1">
      <c r="N1340" s="553"/>
      <c r="O1340" s="553"/>
      <c r="P1340" s="553"/>
      <c r="Q1340" s="553"/>
      <c r="R1340" s="553"/>
      <c r="S1340" s="553"/>
    </row>
    <row r="1341" spans="14:19" ht="27.95" customHeight="1">
      <c r="N1341" s="553"/>
      <c r="O1341" s="553"/>
      <c r="P1341" s="553"/>
      <c r="Q1341" s="553"/>
      <c r="R1341" s="553"/>
      <c r="S1341" s="553"/>
    </row>
    <row r="1342" spans="14:19" ht="27.95" customHeight="1">
      <c r="N1342" s="553"/>
      <c r="O1342" s="553"/>
      <c r="P1342" s="553"/>
      <c r="Q1342" s="553"/>
      <c r="R1342" s="553"/>
      <c r="S1342" s="553"/>
    </row>
    <row r="1343" spans="14:19" ht="27.95" customHeight="1">
      <c r="N1343" s="553"/>
      <c r="O1343" s="553"/>
      <c r="P1343" s="553"/>
      <c r="Q1343" s="553"/>
      <c r="R1343" s="553"/>
      <c r="S1343" s="553"/>
    </row>
    <row r="1344" spans="14:19" ht="27.95" customHeight="1">
      <c r="N1344" s="553"/>
      <c r="O1344" s="553"/>
      <c r="P1344" s="553"/>
      <c r="Q1344" s="553"/>
      <c r="R1344" s="553"/>
      <c r="S1344" s="553"/>
    </row>
    <row r="1345" spans="14:19" ht="27.95" customHeight="1">
      <c r="N1345" s="553"/>
      <c r="O1345" s="553"/>
      <c r="P1345" s="553"/>
      <c r="Q1345" s="553"/>
      <c r="R1345" s="553"/>
      <c r="S1345" s="553"/>
    </row>
    <row r="1346" spans="14:19" ht="27.95" customHeight="1">
      <c r="N1346" s="553"/>
      <c r="O1346" s="553"/>
      <c r="P1346" s="553"/>
      <c r="Q1346" s="553"/>
      <c r="R1346" s="553"/>
      <c r="S1346" s="553"/>
    </row>
    <row r="1347" spans="14:19" ht="27.95" customHeight="1">
      <c r="N1347" s="553"/>
      <c r="O1347" s="553"/>
      <c r="P1347" s="553"/>
      <c r="Q1347" s="553"/>
      <c r="R1347" s="553"/>
      <c r="S1347" s="553"/>
    </row>
    <row r="1348" spans="14:19" ht="27.95" customHeight="1">
      <c r="N1348" s="553"/>
      <c r="O1348" s="553"/>
      <c r="P1348" s="553"/>
      <c r="Q1348" s="553"/>
      <c r="R1348" s="553"/>
      <c r="S1348" s="553"/>
    </row>
    <row r="1349" spans="14:19" ht="27.95" customHeight="1">
      <c r="N1349" s="553"/>
      <c r="O1349" s="553"/>
      <c r="P1349" s="553"/>
      <c r="Q1349" s="553"/>
      <c r="R1349" s="553"/>
      <c r="S1349" s="553"/>
    </row>
    <row r="1350" spans="14:19" ht="27.95" customHeight="1">
      <c r="N1350" s="553"/>
      <c r="O1350" s="553"/>
      <c r="P1350" s="553"/>
      <c r="Q1350" s="553"/>
      <c r="R1350" s="553"/>
      <c r="S1350" s="553"/>
    </row>
    <row r="1351" spans="14:19" ht="27.95" customHeight="1">
      <c r="N1351" s="553"/>
      <c r="O1351" s="553"/>
      <c r="P1351" s="553"/>
      <c r="Q1351" s="553"/>
      <c r="R1351" s="553"/>
      <c r="S1351" s="553"/>
    </row>
    <row r="1352" spans="14:19" ht="27.95" customHeight="1">
      <c r="N1352" s="553"/>
      <c r="O1352" s="553"/>
      <c r="P1352" s="553"/>
      <c r="Q1352" s="553"/>
      <c r="R1352" s="553"/>
      <c r="S1352" s="553"/>
    </row>
    <row r="1353" spans="14:19" ht="27.95" customHeight="1">
      <c r="N1353" s="553"/>
      <c r="O1353" s="553"/>
      <c r="P1353" s="553"/>
      <c r="Q1353" s="553"/>
      <c r="R1353" s="553"/>
      <c r="S1353" s="553"/>
    </row>
    <row r="1354" spans="14:19" ht="27.95" customHeight="1">
      <c r="N1354" s="553"/>
      <c r="O1354" s="553"/>
      <c r="P1354" s="553"/>
      <c r="Q1354" s="553"/>
      <c r="R1354" s="553"/>
      <c r="S1354" s="553"/>
    </row>
    <row r="1355" spans="14:19" ht="27.95" customHeight="1">
      <c r="N1355" s="553"/>
      <c r="O1355" s="553"/>
      <c r="P1355" s="553"/>
      <c r="Q1355" s="553"/>
      <c r="R1355" s="553"/>
      <c r="S1355" s="553"/>
    </row>
    <row r="1356" spans="14:19" ht="27.95" customHeight="1">
      <c r="N1356" s="553"/>
      <c r="O1356" s="553"/>
      <c r="P1356" s="553"/>
      <c r="Q1356" s="553"/>
      <c r="R1356" s="553"/>
      <c r="S1356" s="553"/>
    </row>
    <row r="1357" spans="14:19" ht="27.95" customHeight="1">
      <c r="N1357" s="553"/>
      <c r="O1357" s="553"/>
      <c r="P1357" s="553"/>
      <c r="Q1357" s="553"/>
      <c r="R1357" s="553"/>
      <c r="S1357" s="553"/>
    </row>
    <row r="1358" spans="14:19" ht="27.95" customHeight="1">
      <c r="N1358" s="553"/>
      <c r="O1358" s="553"/>
      <c r="P1358" s="553"/>
      <c r="Q1358" s="553"/>
      <c r="R1358" s="553"/>
      <c r="S1358" s="553"/>
    </row>
    <row r="1359" spans="14:19" ht="27.95" customHeight="1">
      <c r="N1359" s="553"/>
      <c r="O1359" s="553"/>
      <c r="P1359" s="553"/>
      <c r="Q1359" s="553"/>
      <c r="R1359" s="553"/>
      <c r="S1359" s="553"/>
    </row>
    <row r="1360" spans="14:19" ht="27.95" customHeight="1">
      <c r="N1360" s="553"/>
      <c r="O1360" s="553"/>
      <c r="P1360" s="553"/>
      <c r="Q1360" s="553"/>
      <c r="R1360" s="553"/>
      <c r="S1360" s="553"/>
    </row>
    <row r="1361" spans="14:19" ht="27.95" customHeight="1">
      <c r="N1361" s="553"/>
      <c r="O1361" s="553"/>
      <c r="P1361" s="553"/>
      <c r="Q1361" s="553"/>
      <c r="R1361" s="553"/>
      <c r="S1361" s="553"/>
    </row>
    <row r="1362" spans="14:19" ht="27.95" customHeight="1">
      <c r="N1362" s="553"/>
      <c r="O1362" s="553"/>
      <c r="P1362" s="553"/>
      <c r="Q1362" s="553"/>
      <c r="R1362" s="553"/>
      <c r="S1362" s="553"/>
    </row>
    <row r="1363" spans="14:19" ht="27.95" customHeight="1">
      <c r="N1363" s="553"/>
      <c r="O1363" s="553"/>
      <c r="P1363" s="553"/>
      <c r="Q1363" s="553"/>
      <c r="R1363" s="553"/>
      <c r="S1363" s="553"/>
    </row>
    <row r="1364" spans="14:19" ht="27.95" customHeight="1">
      <c r="N1364" s="553"/>
      <c r="O1364" s="553"/>
      <c r="P1364" s="553"/>
      <c r="Q1364" s="553"/>
      <c r="R1364" s="553"/>
      <c r="S1364" s="553"/>
    </row>
    <row r="1365" spans="14:19" ht="27.95" customHeight="1">
      <c r="N1365" s="553"/>
      <c r="O1365" s="553"/>
      <c r="P1365" s="553"/>
      <c r="Q1365" s="553"/>
      <c r="R1365" s="553"/>
      <c r="S1365" s="553"/>
    </row>
    <row r="1366" spans="14:19" ht="27.95" customHeight="1">
      <c r="N1366" s="553"/>
      <c r="O1366" s="553"/>
      <c r="P1366" s="553"/>
      <c r="Q1366" s="553"/>
      <c r="R1366" s="553"/>
      <c r="S1366" s="553"/>
    </row>
    <row r="1367" spans="14:19" ht="27.95" customHeight="1">
      <c r="N1367" s="553"/>
      <c r="O1367" s="553"/>
      <c r="P1367" s="553"/>
      <c r="Q1367" s="553"/>
      <c r="R1367" s="553"/>
      <c r="S1367" s="553"/>
    </row>
    <row r="1368" spans="14:19" ht="27.95" customHeight="1">
      <c r="N1368" s="553"/>
      <c r="O1368" s="553"/>
      <c r="P1368" s="553"/>
      <c r="Q1368" s="553"/>
      <c r="R1368" s="553"/>
      <c r="S1368" s="553"/>
    </row>
    <row r="1369" spans="14:19" ht="27.95" customHeight="1">
      <c r="N1369" s="553"/>
      <c r="O1369" s="553"/>
      <c r="P1369" s="553"/>
      <c r="Q1369" s="553"/>
      <c r="R1369" s="553"/>
      <c r="S1369" s="553"/>
    </row>
    <row r="1370" spans="14:19" ht="27.95" customHeight="1">
      <c r="N1370" s="553"/>
      <c r="O1370" s="553"/>
      <c r="P1370" s="553"/>
      <c r="Q1370" s="553"/>
      <c r="R1370" s="553"/>
      <c r="S1370" s="553"/>
    </row>
    <row r="1371" spans="14:19" ht="27.95" customHeight="1">
      <c r="N1371" s="553"/>
      <c r="O1371" s="553"/>
      <c r="P1371" s="553"/>
      <c r="Q1371" s="553"/>
      <c r="R1371" s="553"/>
      <c r="S1371" s="553"/>
    </row>
    <row r="1372" spans="14:19" ht="27.95" customHeight="1">
      <c r="N1372" s="553"/>
      <c r="O1372" s="553"/>
      <c r="P1372" s="553"/>
      <c r="Q1372" s="553"/>
      <c r="R1372" s="553"/>
      <c r="S1372" s="553"/>
    </row>
    <row r="1373" spans="14:19" ht="27.95" customHeight="1">
      <c r="N1373" s="553"/>
      <c r="O1373" s="553"/>
      <c r="P1373" s="553"/>
      <c r="Q1373" s="553"/>
      <c r="R1373" s="553"/>
      <c r="S1373" s="553"/>
    </row>
    <row r="1374" spans="14:19" ht="27.95" customHeight="1">
      <c r="N1374" s="553"/>
      <c r="O1374" s="553"/>
      <c r="P1374" s="553"/>
      <c r="Q1374" s="553"/>
      <c r="R1374" s="553"/>
      <c r="S1374" s="553"/>
    </row>
    <row r="1375" spans="14:19" ht="27.95" customHeight="1">
      <c r="N1375" s="553"/>
      <c r="O1375" s="553"/>
      <c r="P1375" s="553"/>
      <c r="Q1375" s="553"/>
      <c r="R1375" s="553"/>
      <c r="S1375" s="553"/>
    </row>
    <row r="1376" spans="14:19" ht="27.95" customHeight="1">
      <c r="N1376" s="553"/>
      <c r="O1376" s="553"/>
      <c r="P1376" s="553"/>
      <c r="Q1376" s="553"/>
      <c r="R1376" s="553"/>
      <c r="S1376" s="553"/>
    </row>
    <row r="1377" spans="14:19" ht="27.95" customHeight="1">
      <c r="N1377" s="553"/>
      <c r="O1377" s="553"/>
      <c r="P1377" s="553"/>
      <c r="Q1377" s="553"/>
      <c r="R1377" s="553"/>
      <c r="S1377" s="553"/>
    </row>
    <row r="1378" spans="14:19" ht="27.95" customHeight="1">
      <c r="N1378" s="553"/>
      <c r="O1378" s="553"/>
      <c r="P1378" s="553"/>
      <c r="Q1378" s="553"/>
      <c r="R1378" s="553"/>
      <c r="S1378" s="553"/>
    </row>
    <row r="1379" spans="14:19" ht="27.95" customHeight="1">
      <c r="N1379" s="553"/>
      <c r="O1379" s="553"/>
      <c r="P1379" s="553"/>
      <c r="Q1379" s="553"/>
      <c r="R1379" s="553"/>
      <c r="S1379" s="553"/>
    </row>
    <row r="1380" spans="14:19" ht="27.95" customHeight="1">
      <c r="N1380" s="553"/>
      <c r="O1380" s="553"/>
      <c r="P1380" s="553"/>
      <c r="Q1380" s="553"/>
      <c r="R1380" s="553"/>
      <c r="S1380" s="553"/>
    </row>
    <row r="1381" spans="14:19" ht="27.95" customHeight="1">
      <c r="N1381" s="553"/>
      <c r="O1381" s="553"/>
      <c r="P1381" s="553"/>
      <c r="Q1381" s="553"/>
      <c r="R1381" s="553"/>
      <c r="S1381" s="553"/>
    </row>
    <row r="1382" spans="14:19" ht="27.95" customHeight="1">
      <c r="N1382" s="553"/>
      <c r="O1382" s="553"/>
      <c r="P1382" s="553"/>
      <c r="Q1382" s="553"/>
      <c r="R1382" s="553"/>
      <c r="S1382" s="553"/>
    </row>
    <row r="1383" spans="14:19" ht="27.95" customHeight="1">
      <c r="N1383" s="553"/>
      <c r="O1383" s="553"/>
      <c r="P1383" s="553"/>
      <c r="Q1383" s="553"/>
      <c r="R1383" s="553"/>
      <c r="S1383" s="553"/>
    </row>
    <row r="1384" spans="14:19" ht="27.95" customHeight="1">
      <c r="N1384" s="553"/>
      <c r="O1384" s="553"/>
      <c r="P1384" s="553"/>
      <c r="Q1384" s="553"/>
      <c r="R1384" s="553"/>
      <c r="S1384" s="553"/>
    </row>
    <row r="1385" spans="14:19" ht="27.95" customHeight="1">
      <c r="N1385" s="553"/>
      <c r="O1385" s="553"/>
      <c r="P1385" s="553"/>
      <c r="Q1385" s="553"/>
      <c r="R1385" s="553"/>
      <c r="S1385" s="553"/>
    </row>
    <row r="1386" spans="14:19" ht="27.95" customHeight="1">
      <c r="N1386" s="553"/>
      <c r="O1386" s="553"/>
      <c r="P1386" s="553"/>
      <c r="Q1386" s="553"/>
      <c r="R1386" s="553"/>
      <c r="S1386" s="553"/>
    </row>
    <row r="1387" spans="14:19" ht="27.95" customHeight="1">
      <c r="N1387" s="553"/>
      <c r="O1387" s="553"/>
      <c r="P1387" s="553"/>
      <c r="Q1387" s="553"/>
      <c r="R1387" s="553"/>
      <c r="S1387" s="553"/>
    </row>
    <row r="1388" spans="14:19" ht="27.95" customHeight="1">
      <c r="N1388" s="553"/>
      <c r="O1388" s="553"/>
      <c r="P1388" s="553"/>
      <c r="Q1388" s="553"/>
      <c r="R1388" s="553"/>
      <c r="S1388" s="553"/>
    </row>
    <row r="1389" spans="14:19" ht="27.95" customHeight="1">
      <c r="N1389" s="553"/>
      <c r="O1389" s="553"/>
      <c r="P1389" s="553"/>
      <c r="Q1389" s="553"/>
      <c r="R1389" s="553"/>
      <c r="S1389" s="553"/>
    </row>
    <row r="1390" spans="14:19" ht="27.95" customHeight="1">
      <c r="N1390" s="553"/>
      <c r="O1390" s="553"/>
      <c r="P1390" s="553"/>
      <c r="Q1390" s="553"/>
      <c r="R1390" s="553"/>
      <c r="S1390" s="553"/>
    </row>
    <row r="1391" spans="14:19" ht="27.95" customHeight="1">
      <c r="N1391" s="553"/>
      <c r="O1391" s="553"/>
      <c r="P1391" s="553"/>
      <c r="Q1391" s="553"/>
      <c r="R1391" s="553"/>
      <c r="S1391" s="553"/>
    </row>
    <row r="1392" spans="14:19" ht="27.95" customHeight="1">
      <c r="N1392" s="553"/>
      <c r="O1392" s="553"/>
      <c r="P1392" s="553"/>
      <c r="Q1392" s="553"/>
      <c r="R1392" s="553"/>
      <c r="S1392" s="553"/>
    </row>
    <row r="1393" spans="14:19" ht="27.95" customHeight="1">
      <c r="N1393" s="553"/>
      <c r="O1393" s="553"/>
      <c r="P1393" s="553"/>
      <c r="Q1393" s="553"/>
      <c r="R1393" s="553"/>
      <c r="S1393" s="553"/>
    </row>
    <row r="1394" spans="14:19" ht="27.95" customHeight="1">
      <c r="N1394" s="553"/>
      <c r="O1394" s="553"/>
      <c r="P1394" s="553"/>
      <c r="Q1394" s="553"/>
      <c r="R1394" s="553"/>
      <c r="S1394" s="553"/>
    </row>
    <row r="1395" spans="14:19" ht="27.95" customHeight="1">
      <c r="N1395" s="553"/>
      <c r="O1395" s="553"/>
      <c r="P1395" s="553"/>
      <c r="Q1395" s="553"/>
      <c r="R1395" s="553"/>
      <c r="S1395" s="553"/>
    </row>
    <row r="1396" spans="14:19" ht="27.95" customHeight="1">
      <c r="N1396" s="553"/>
      <c r="O1396" s="553"/>
      <c r="P1396" s="553"/>
      <c r="Q1396" s="553"/>
      <c r="R1396" s="553"/>
      <c r="S1396" s="553"/>
    </row>
    <row r="1397" spans="14:19" ht="27.95" customHeight="1">
      <c r="N1397" s="553"/>
      <c r="O1397" s="553"/>
      <c r="P1397" s="553"/>
      <c r="Q1397" s="553"/>
      <c r="R1397" s="553"/>
      <c r="S1397" s="553"/>
    </row>
    <row r="1398" spans="14:19" ht="27.95" customHeight="1">
      <c r="N1398" s="553"/>
      <c r="O1398" s="553"/>
      <c r="P1398" s="553"/>
      <c r="Q1398" s="553"/>
      <c r="R1398" s="553"/>
      <c r="S1398" s="553"/>
    </row>
    <row r="1399" spans="14:19" ht="27.95" customHeight="1">
      <c r="N1399" s="553"/>
      <c r="O1399" s="553"/>
      <c r="P1399" s="553"/>
      <c r="Q1399" s="553"/>
      <c r="R1399" s="553"/>
      <c r="S1399" s="553"/>
    </row>
    <row r="1400" spans="14:19" ht="27.95" customHeight="1">
      <c r="N1400" s="553"/>
      <c r="O1400" s="553"/>
      <c r="P1400" s="553"/>
      <c r="Q1400" s="553"/>
      <c r="R1400" s="553"/>
      <c r="S1400" s="553"/>
    </row>
    <row r="1401" spans="14:19" ht="27.95" customHeight="1">
      <c r="N1401" s="553"/>
      <c r="O1401" s="553"/>
      <c r="P1401" s="553"/>
      <c r="Q1401" s="553"/>
      <c r="R1401" s="553"/>
      <c r="S1401" s="553"/>
    </row>
    <row r="1402" spans="14:19" ht="27.95" customHeight="1">
      <c r="N1402" s="553"/>
      <c r="O1402" s="553"/>
      <c r="P1402" s="553"/>
      <c r="Q1402" s="553"/>
      <c r="R1402" s="553"/>
      <c r="S1402" s="553"/>
    </row>
    <row r="1403" spans="14:19" ht="27.95" customHeight="1">
      <c r="N1403" s="553"/>
      <c r="O1403" s="553"/>
      <c r="P1403" s="553"/>
      <c r="Q1403" s="553"/>
      <c r="R1403" s="553"/>
      <c r="S1403" s="553"/>
    </row>
    <row r="1404" spans="14:19" ht="27.95" customHeight="1">
      <c r="N1404" s="553"/>
      <c r="O1404" s="553"/>
      <c r="P1404" s="553"/>
      <c r="Q1404" s="553"/>
      <c r="R1404" s="553"/>
      <c r="S1404" s="553"/>
    </row>
    <row r="1405" spans="14:19" ht="27.95" customHeight="1">
      <c r="N1405" s="553"/>
      <c r="O1405" s="553"/>
      <c r="P1405" s="553"/>
      <c r="Q1405" s="553"/>
      <c r="R1405" s="553"/>
      <c r="S1405" s="553"/>
    </row>
    <row r="1406" spans="14:19" ht="27.95" customHeight="1">
      <c r="N1406" s="553"/>
      <c r="O1406" s="553"/>
      <c r="P1406" s="553"/>
      <c r="Q1406" s="553"/>
      <c r="R1406" s="553"/>
      <c r="S1406" s="553"/>
    </row>
    <row r="1407" spans="14:19" ht="27.95" customHeight="1">
      <c r="N1407" s="553"/>
      <c r="O1407" s="553"/>
      <c r="P1407" s="553"/>
      <c r="Q1407" s="553"/>
      <c r="R1407" s="553"/>
      <c r="S1407" s="553"/>
    </row>
    <row r="1408" spans="14:19" ht="27.95" customHeight="1">
      <c r="N1408" s="553"/>
      <c r="O1408" s="553"/>
      <c r="P1408" s="553"/>
      <c r="Q1408" s="553"/>
      <c r="R1408" s="553"/>
      <c r="S1408" s="553"/>
    </row>
    <row r="1409" spans="14:19" ht="27.95" customHeight="1">
      <c r="N1409" s="553"/>
      <c r="O1409" s="553"/>
      <c r="P1409" s="553"/>
      <c r="Q1409" s="553"/>
      <c r="R1409" s="553"/>
      <c r="S1409" s="553"/>
    </row>
    <row r="1410" spans="14:19" ht="27.95" customHeight="1">
      <c r="N1410" s="553"/>
      <c r="O1410" s="553"/>
      <c r="P1410" s="553"/>
      <c r="Q1410" s="553"/>
      <c r="R1410" s="553"/>
      <c r="S1410" s="553"/>
    </row>
    <row r="1411" spans="14:19" ht="27.95" customHeight="1">
      <c r="N1411" s="553"/>
      <c r="O1411" s="553"/>
      <c r="P1411" s="553"/>
      <c r="Q1411" s="553"/>
      <c r="R1411" s="553"/>
      <c r="S1411" s="553"/>
    </row>
    <row r="1412" spans="14:19" ht="27.95" customHeight="1">
      <c r="N1412" s="553"/>
      <c r="O1412" s="553"/>
      <c r="P1412" s="553"/>
      <c r="Q1412" s="553"/>
      <c r="R1412" s="553"/>
      <c r="S1412" s="553"/>
    </row>
    <row r="1413" spans="14:19" ht="27.95" customHeight="1">
      <c r="N1413" s="553"/>
      <c r="O1413" s="553"/>
      <c r="P1413" s="553"/>
      <c r="Q1413" s="553"/>
      <c r="R1413" s="553"/>
      <c r="S1413" s="553"/>
    </row>
    <row r="1414" spans="14:19" ht="27.95" customHeight="1">
      <c r="N1414" s="553"/>
      <c r="O1414" s="553"/>
      <c r="P1414" s="553"/>
      <c r="Q1414" s="553"/>
      <c r="R1414" s="553"/>
      <c r="S1414" s="553"/>
    </row>
    <row r="1415" spans="14:19" ht="27.95" customHeight="1">
      <c r="N1415" s="553"/>
      <c r="O1415" s="553"/>
      <c r="P1415" s="553"/>
      <c r="Q1415" s="553"/>
      <c r="R1415" s="553"/>
      <c r="S1415" s="553"/>
    </row>
    <row r="1416" spans="14:19" ht="27.95" customHeight="1">
      <c r="N1416" s="553"/>
      <c r="O1416" s="553"/>
      <c r="P1416" s="553"/>
      <c r="Q1416" s="553"/>
      <c r="R1416" s="553"/>
      <c r="S1416" s="553"/>
    </row>
    <row r="1417" spans="14:19" ht="27.95" customHeight="1">
      <c r="N1417" s="553"/>
      <c r="O1417" s="553"/>
      <c r="P1417" s="553"/>
      <c r="Q1417" s="553"/>
      <c r="R1417" s="553"/>
      <c r="S1417" s="553"/>
    </row>
    <row r="1418" spans="14:19" ht="27.95" customHeight="1">
      <c r="N1418" s="553"/>
      <c r="O1418" s="553"/>
      <c r="P1418" s="553"/>
      <c r="Q1418" s="553"/>
      <c r="R1418" s="553"/>
      <c r="S1418" s="553"/>
    </row>
    <row r="1419" spans="14:19" ht="27.95" customHeight="1">
      <c r="N1419" s="553"/>
      <c r="O1419" s="553"/>
      <c r="P1419" s="553"/>
      <c r="Q1419" s="553"/>
      <c r="R1419" s="553"/>
      <c r="S1419" s="553"/>
    </row>
    <row r="1420" spans="14:19" ht="27.95" customHeight="1">
      <c r="N1420" s="553"/>
      <c r="O1420" s="553"/>
      <c r="P1420" s="553"/>
      <c r="Q1420" s="553"/>
      <c r="R1420" s="553"/>
      <c r="S1420" s="553"/>
    </row>
    <row r="1421" spans="14:19" ht="27.95" customHeight="1">
      <c r="N1421" s="553"/>
      <c r="O1421" s="553"/>
      <c r="P1421" s="553"/>
      <c r="Q1421" s="553"/>
      <c r="R1421" s="553"/>
      <c r="S1421" s="553"/>
    </row>
    <row r="1422" spans="14:19" ht="27.95" customHeight="1">
      <c r="N1422" s="553"/>
      <c r="O1422" s="553"/>
      <c r="P1422" s="553"/>
      <c r="Q1422" s="553"/>
      <c r="R1422" s="553"/>
      <c r="S1422" s="553"/>
    </row>
    <row r="1423" spans="14:19" ht="27.95" customHeight="1">
      <c r="N1423" s="553"/>
      <c r="O1423" s="553"/>
      <c r="P1423" s="553"/>
      <c r="Q1423" s="553"/>
      <c r="R1423" s="553"/>
      <c r="S1423" s="553"/>
    </row>
    <row r="1424" spans="14:19" ht="27.95" customHeight="1">
      <c r="N1424" s="553"/>
      <c r="O1424" s="553"/>
      <c r="P1424" s="553"/>
      <c r="Q1424" s="553"/>
      <c r="R1424" s="553"/>
      <c r="S1424" s="553"/>
    </row>
    <row r="1425" spans="14:19" ht="27.95" customHeight="1">
      <c r="N1425" s="553"/>
      <c r="O1425" s="553"/>
      <c r="P1425" s="553"/>
      <c r="Q1425" s="553"/>
      <c r="R1425" s="553"/>
      <c r="S1425" s="553"/>
    </row>
    <row r="1426" spans="14:19" ht="27.95" customHeight="1">
      <c r="N1426" s="553"/>
      <c r="O1426" s="553"/>
      <c r="P1426" s="553"/>
      <c r="Q1426" s="553"/>
      <c r="R1426" s="553"/>
      <c r="S1426" s="553"/>
    </row>
    <row r="1427" spans="14:19" ht="27.95" customHeight="1">
      <c r="N1427" s="553"/>
      <c r="O1427" s="553"/>
      <c r="P1427" s="553"/>
      <c r="Q1427" s="553"/>
      <c r="R1427" s="553"/>
      <c r="S1427" s="553"/>
    </row>
    <row r="1428" spans="14:19" ht="27.95" customHeight="1">
      <c r="N1428" s="553"/>
      <c r="O1428" s="553"/>
      <c r="P1428" s="553"/>
      <c r="Q1428" s="553"/>
      <c r="R1428" s="553"/>
      <c r="S1428" s="553"/>
    </row>
    <row r="1429" spans="14:19" ht="27.95" customHeight="1">
      <c r="N1429" s="553"/>
      <c r="O1429" s="553"/>
      <c r="P1429" s="553"/>
      <c r="Q1429" s="553"/>
      <c r="R1429" s="553"/>
      <c r="S1429" s="553"/>
    </row>
    <row r="1430" spans="14:19" ht="27.95" customHeight="1">
      <c r="N1430" s="553"/>
      <c r="O1430" s="553"/>
      <c r="P1430" s="553"/>
      <c r="Q1430" s="553"/>
      <c r="R1430" s="553"/>
      <c r="S1430" s="553"/>
    </row>
    <row r="1431" spans="14:19" ht="27.95" customHeight="1">
      <c r="N1431" s="553"/>
      <c r="O1431" s="553"/>
      <c r="P1431" s="553"/>
      <c r="Q1431" s="553"/>
      <c r="R1431" s="553"/>
      <c r="S1431" s="553"/>
    </row>
    <row r="1432" spans="14:19" ht="27.95" customHeight="1">
      <c r="N1432" s="553"/>
      <c r="O1432" s="553"/>
      <c r="P1432" s="553"/>
      <c r="Q1432" s="553"/>
      <c r="R1432" s="553"/>
      <c r="S1432" s="553"/>
    </row>
    <row r="1433" spans="14:19" ht="27.95" customHeight="1">
      <c r="N1433" s="553"/>
      <c r="O1433" s="553"/>
      <c r="P1433" s="553"/>
      <c r="Q1433" s="553"/>
      <c r="R1433" s="553"/>
      <c r="S1433" s="553"/>
    </row>
    <row r="1434" spans="14:19" ht="27.95" customHeight="1">
      <c r="N1434" s="553"/>
      <c r="O1434" s="553"/>
      <c r="P1434" s="553"/>
      <c r="Q1434" s="553"/>
      <c r="R1434" s="553"/>
      <c r="S1434" s="553"/>
    </row>
    <row r="1435" spans="14:19" ht="27.95" customHeight="1">
      <c r="N1435" s="553"/>
      <c r="O1435" s="553"/>
      <c r="P1435" s="553"/>
      <c r="Q1435" s="553"/>
      <c r="R1435" s="553"/>
      <c r="S1435" s="553"/>
    </row>
    <row r="1436" spans="14:19" ht="27.95" customHeight="1">
      <c r="N1436" s="553"/>
      <c r="O1436" s="553"/>
      <c r="P1436" s="553"/>
      <c r="Q1436" s="553"/>
      <c r="R1436" s="553"/>
      <c r="S1436" s="553"/>
    </row>
    <row r="1437" spans="14:19" ht="27.95" customHeight="1">
      <c r="N1437" s="553"/>
      <c r="O1437" s="553"/>
      <c r="P1437" s="553"/>
      <c r="Q1437" s="553"/>
      <c r="R1437" s="553"/>
      <c r="S1437" s="553"/>
    </row>
    <row r="1438" spans="14:19" ht="27.95" customHeight="1">
      <c r="N1438" s="553"/>
      <c r="O1438" s="553"/>
      <c r="P1438" s="553"/>
      <c r="Q1438" s="553"/>
      <c r="R1438" s="553"/>
      <c r="S1438" s="553"/>
    </row>
    <row r="1439" spans="14:19" ht="27.95" customHeight="1">
      <c r="N1439" s="553"/>
      <c r="O1439" s="553"/>
      <c r="P1439" s="553"/>
      <c r="Q1439" s="553"/>
      <c r="R1439" s="553"/>
      <c r="S1439" s="553"/>
    </row>
    <row r="1440" spans="14:19" ht="27.95" customHeight="1">
      <c r="N1440" s="553"/>
      <c r="O1440" s="553"/>
      <c r="P1440" s="553"/>
      <c r="Q1440" s="553"/>
      <c r="R1440" s="553"/>
      <c r="S1440" s="553"/>
    </row>
    <row r="1441" spans="14:19" ht="27.95" customHeight="1">
      <c r="N1441" s="553"/>
      <c r="O1441" s="553"/>
      <c r="P1441" s="553"/>
      <c r="Q1441" s="553"/>
      <c r="R1441" s="553"/>
      <c r="S1441" s="553"/>
    </row>
    <row r="1442" spans="14:19" ht="27.95" customHeight="1">
      <c r="N1442" s="553"/>
      <c r="O1442" s="553"/>
      <c r="P1442" s="553"/>
      <c r="Q1442" s="553"/>
      <c r="R1442" s="553"/>
      <c r="S1442" s="553"/>
    </row>
    <row r="1443" spans="14:19" ht="27.95" customHeight="1">
      <c r="N1443" s="553"/>
      <c r="O1443" s="553"/>
      <c r="P1443" s="553"/>
      <c r="Q1443" s="553"/>
      <c r="R1443" s="553"/>
      <c r="S1443" s="553"/>
    </row>
    <row r="1444" spans="14:19" ht="27.95" customHeight="1">
      <c r="N1444" s="553"/>
      <c r="O1444" s="553"/>
      <c r="P1444" s="553"/>
      <c r="Q1444" s="553"/>
      <c r="R1444" s="553"/>
      <c r="S1444" s="553"/>
    </row>
    <row r="1445" spans="14:19" ht="27.95" customHeight="1">
      <c r="N1445" s="553"/>
      <c r="O1445" s="553"/>
      <c r="P1445" s="553"/>
      <c r="Q1445" s="553"/>
      <c r="R1445" s="553"/>
      <c r="S1445" s="553"/>
    </row>
    <row r="1446" spans="14:19" ht="27.95" customHeight="1">
      <c r="N1446" s="553"/>
      <c r="O1446" s="553"/>
      <c r="P1446" s="553"/>
      <c r="Q1446" s="553"/>
      <c r="R1446" s="553"/>
      <c r="S1446" s="553"/>
    </row>
    <row r="1447" spans="14:19" ht="27.95" customHeight="1">
      <c r="N1447" s="553"/>
      <c r="O1447" s="553"/>
      <c r="P1447" s="553"/>
      <c r="Q1447" s="553"/>
      <c r="R1447" s="553"/>
      <c r="S1447" s="553"/>
    </row>
    <row r="1448" spans="14:19" ht="27.95" customHeight="1">
      <c r="N1448" s="553"/>
      <c r="O1448" s="553"/>
      <c r="P1448" s="553"/>
      <c r="Q1448" s="553"/>
      <c r="R1448" s="553"/>
      <c r="S1448" s="553"/>
    </row>
    <row r="1449" spans="14:19" ht="27.95" customHeight="1">
      <c r="N1449" s="553"/>
      <c r="O1449" s="553"/>
      <c r="P1449" s="553"/>
      <c r="Q1449" s="553"/>
      <c r="R1449" s="553"/>
      <c r="S1449" s="553"/>
    </row>
    <row r="1450" spans="14:19" ht="27.95" customHeight="1">
      <c r="N1450" s="553"/>
      <c r="O1450" s="553"/>
      <c r="P1450" s="553"/>
      <c r="Q1450" s="553"/>
      <c r="R1450" s="553"/>
      <c r="S1450" s="553"/>
    </row>
    <row r="1451" spans="14:19" ht="27.95" customHeight="1">
      <c r="N1451" s="553"/>
      <c r="O1451" s="553"/>
      <c r="P1451" s="553"/>
      <c r="Q1451" s="553"/>
      <c r="R1451" s="553"/>
      <c r="S1451" s="553"/>
    </row>
    <row r="1452" spans="14:19" ht="27.95" customHeight="1">
      <c r="N1452" s="553"/>
      <c r="O1452" s="553"/>
      <c r="P1452" s="553"/>
      <c r="Q1452" s="553"/>
      <c r="R1452" s="553"/>
      <c r="S1452" s="553"/>
    </row>
    <row r="1453" spans="14:19" ht="27.95" customHeight="1">
      <c r="N1453" s="553"/>
      <c r="O1453" s="553"/>
      <c r="P1453" s="553"/>
      <c r="Q1453" s="553"/>
      <c r="R1453" s="553"/>
      <c r="S1453" s="553"/>
    </row>
    <row r="1454" spans="14:19" ht="27.95" customHeight="1">
      <c r="N1454" s="553"/>
      <c r="O1454" s="553"/>
      <c r="P1454" s="553"/>
      <c r="Q1454" s="553"/>
      <c r="R1454" s="553"/>
      <c r="S1454" s="553"/>
    </row>
    <row r="1455" spans="14:19" ht="27.95" customHeight="1">
      <c r="N1455" s="553"/>
      <c r="O1455" s="553"/>
      <c r="P1455" s="553"/>
      <c r="Q1455" s="553"/>
      <c r="R1455" s="553"/>
      <c r="S1455" s="553"/>
    </row>
    <row r="1456" spans="14:19" ht="27.95" customHeight="1">
      <c r="N1456" s="553"/>
      <c r="O1456" s="553"/>
      <c r="P1456" s="553"/>
      <c r="Q1456" s="553"/>
      <c r="R1456" s="553"/>
      <c r="S1456" s="553"/>
    </row>
    <row r="1457" spans="14:19" ht="27.95" customHeight="1">
      <c r="N1457" s="553"/>
      <c r="O1457" s="553"/>
      <c r="P1457" s="553"/>
      <c r="Q1457" s="553"/>
      <c r="R1457" s="553"/>
      <c r="S1457" s="553"/>
    </row>
    <row r="1458" spans="14:19" ht="27.95" customHeight="1">
      <c r="N1458" s="553"/>
      <c r="O1458" s="553"/>
      <c r="P1458" s="553"/>
      <c r="Q1458" s="553"/>
      <c r="R1458" s="553"/>
      <c r="S1458" s="553"/>
    </row>
    <row r="1459" spans="14:19" ht="27.95" customHeight="1">
      <c r="N1459" s="553"/>
      <c r="O1459" s="553"/>
      <c r="P1459" s="553"/>
      <c r="Q1459" s="553"/>
      <c r="R1459" s="553"/>
      <c r="S1459" s="553"/>
    </row>
    <row r="1460" spans="14:19" ht="27.95" customHeight="1">
      <c r="N1460" s="553"/>
      <c r="O1460" s="553"/>
      <c r="P1460" s="553"/>
      <c r="Q1460" s="553"/>
      <c r="R1460" s="553"/>
      <c r="S1460" s="553"/>
    </row>
    <row r="1461" spans="14:19" ht="27.95" customHeight="1">
      <c r="N1461" s="553"/>
      <c r="O1461" s="553"/>
      <c r="P1461" s="553"/>
      <c r="Q1461" s="553"/>
      <c r="R1461" s="553"/>
      <c r="S1461" s="553"/>
    </row>
    <row r="1462" spans="14:19" ht="27.95" customHeight="1">
      <c r="N1462" s="553"/>
      <c r="O1462" s="553"/>
      <c r="P1462" s="553"/>
      <c r="Q1462" s="553"/>
      <c r="R1462" s="553"/>
      <c r="S1462" s="553"/>
    </row>
    <row r="1463" spans="14:19" ht="27.95" customHeight="1">
      <c r="N1463" s="553"/>
      <c r="O1463" s="553"/>
      <c r="P1463" s="553"/>
      <c r="Q1463" s="553"/>
      <c r="R1463" s="553"/>
      <c r="S1463" s="553"/>
    </row>
    <row r="1464" spans="14:19" ht="27.95" customHeight="1">
      <c r="N1464" s="553"/>
      <c r="O1464" s="553"/>
      <c r="P1464" s="553"/>
      <c r="Q1464" s="553"/>
      <c r="R1464" s="553"/>
      <c r="S1464" s="553"/>
    </row>
    <row r="1465" spans="14:19" ht="27.95" customHeight="1">
      <c r="N1465" s="553"/>
      <c r="O1465" s="553"/>
      <c r="P1465" s="553"/>
      <c r="Q1465" s="553"/>
      <c r="R1465" s="553"/>
      <c r="S1465" s="553"/>
    </row>
    <row r="1466" spans="14:19" ht="27.95" customHeight="1">
      <c r="N1466" s="553"/>
      <c r="O1466" s="553"/>
      <c r="P1466" s="553"/>
      <c r="Q1466" s="553"/>
      <c r="R1466" s="553"/>
      <c r="S1466" s="553"/>
    </row>
    <row r="1467" spans="14:19" ht="27.95" customHeight="1">
      <c r="N1467" s="553"/>
      <c r="O1467" s="553"/>
      <c r="P1467" s="553"/>
      <c r="Q1467" s="553"/>
      <c r="R1467" s="553"/>
      <c r="S1467" s="553"/>
    </row>
    <row r="1468" spans="14:19" ht="27.95" customHeight="1">
      <c r="N1468" s="553"/>
      <c r="O1468" s="553"/>
      <c r="P1468" s="553"/>
      <c r="Q1468" s="553"/>
      <c r="R1468" s="553"/>
      <c r="S1468" s="553"/>
    </row>
    <row r="1469" spans="14:19" ht="27.95" customHeight="1">
      <c r="N1469" s="553"/>
      <c r="O1469" s="553"/>
      <c r="P1469" s="553"/>
      <c r="Q1469" s="553"/>
      <c r="R1469" s="553"/>
      <c r="S1469" s="553"/>
    </row>
    <row r="1470" spans="14:19" ht="27.95" customHeight="1">
      <c r="N1470" s="553"/>
      <c r="O1470" s="553"/>
      <c r="P1470" s="553"/>
      <c r="Q1470" s="553"/>
      <c r="R1470" s="553"/>
      <c r="S1470" s="553"/>
    </row>
    <row r="1471" spans="14:19" ht="27.95" customHeight="1">
      <c r="N1471" s="553"/>
      <c r="O1471" s="553"/>
      <c r="P1471" s="553"/>
      <c r="Q1471" s="553"/>
      <c r="R1471" s="553"/>
      <c r="S1471" s="553"/>
    </row>
    <row r="1472" spans="14:19" ht="27.95" customHeight="1">
      <c r="N1472" s="553"/>
      <c r="O1472" s="553"/>
      <c r="P1472" s="553"/>
      <c r="Q1472" s="553"/>
      <c r="R1472" s="553"/>
      <c r="S1472" s="553"/>
    </row>
    <row r="1473" spans="14:19" ht="27.95" customHeight="1">
      <c r="N1473" s="553"/>
      <c r="O1473" s="553"/>
      <c r="P1473" s="553"/>
      <c r="Q1473" s="553"/>
      <c r="R1473" s="553"/>
      <c r="S1473" s="553"/>
    </row>
    <row r="1474" spans="14:19" ht="27.95" customHeight="1">
      <c r="N1474" s="553"/>
      <c r="O1474" s="553"/>
      <c r="P1474" s="553"/>
      <c r="Q1474" s="553"/>
      <c r="R1474" s="553"/>
      <c r="S1474" s="553"/>
    </row>
    <row r="1475" spans="14:19" ht="27.95" customHeight="1">
      <c r="N1475" s="553"/>
      <c r="O1475" s="553"/>
      <c r="P1475" s="553"/>
      <c r="Q1475" s="553"/>
      <c r="R1475" s="553"/>
      <c r="S1475" s="553"/>
    </row>
    <row r="1476" spans="14:19" ht="27.95" customHeight="1">
      <c r="N1476" s="553"/>
      <c r="O1476" s="553"/>
      <c r="P1476" s="553"/>
      <c r="Q1476" s="553"/>
      <c r="R1476" s="553"/>
      <c r="S1476" s="553"/>
    </row>
    <row r="1477" spans="14:19" ht="27.95" customHeight="1">
      <c r="N1477" s="553"/>
      <c r="O1477" s="553"/>
      <c r="P1477" s="553"/>
      <c r="Q1477" s="553"/>
      <c r="R1477" s="553"/>
      <c r="S1477" s="553"/>
    </row>
    <row r="1478" spans="14:19" ht="27.95" customHeight="1">
      <c r="N1478" s="553"/>
      <c r="O1478" s="553"/>
      <c r="P1478" s="553"/>
      <c r="Q1478" s="553"/>
      <c r="R1478" s="553"/>
      <c r="S1478" s="553"/>
    </row>
    <row r="1479" spans="14:19" ht="27.95" customHeight="1">
      <c r="N1479" s="553"/>
      <c r="O1479" s="553"/>
      <c r="P1479" s="553"/>
      <c r="Q1479" s="553"/>
      <c r="R1479" s="553"/>
      <c r="S1479" s="553"/>
    </row>
    <row r="1480" spans="14:19" ht="27.95" customHeight="1">
      <c r="N1480" s="553"/>
      <c r="O1480" s="553"/>
      <c r="P1480" s="553"/>
      <c r="Q1480" s="553"/>
      <c r="R1480" s="553"/>
      <c r="S1480" s="553"/>
    </row>
    <row r="1481" spans="14:19" ht="27.95" customHeight="1">
      <c r="N1481" s="553"/>
      <c r="O1481" s="553"/>
      <c r="P1481" s="553"/>
      <c r="Q1481" s="553"/>
      <c r="R1481" s="553"/>
      <c r="S1481" s="553"/>
    </row>
    <row r="1482" spans="14:19" ht="27.95" customHeight="1">
      <c r="N1482" s="553"/>
      <c r="O1482" s="553"/>
      <c r="P1482" s="553"/>
      <c r="Q1482" s="553"/>
      <c r="R1482" s="553"/>
      <c r="S1482" s="553"/>
    </row>
    <row r="1483" spans="14:19" ht="27.95" customHeight="1">
      <c r="N1483" s="553"/>
      <c r="O1483" s="553"/>
      <c r="P1483" s="553"/>
      <c r="Q1483" s="553"/>
      <c r="R1483" s="553"/>
      <c r="S1483" s="553"/>
    </row>
    <row r="1484" spans="14:19" ht="27.95" customHeight="1">
      <c r="N1484" s="553"/>
      <c r="O1484" s="553"/>
      <c r="P1484" s="553"/>
      <c r="Q1484" s="553"/>
      <c r="R1484" s="553"/>
      <c r="S1484" s="553"/>
    </row>
    <row r="1485" spans="14:19" ht="27.95" customHeight="1">
      <c r="N1485" s="553"/>
      <c r="O1485" s="553"/>
      <c r="P1485" s="553"/>
      <c r="Q1485" s="553"/>
      <c r="R1485" s="553"/>
      <c r="S1485" s="553"/>
    </row>
    <row r="1486" spans="14:19" ht="27.95" customHeight="1">
      <c r="N1486" s="553"/>
      <c r="O1486" s="553"/>
      <c r="P1486" s="553"/>
      <c r="Q1486" s="553"/>
      <c r="R1486" s="553"/>
      <c r="S1486" s="553"/>
    </row>
    <row r="1487" spans="14:19" ht="27.95" customHeight="1">
      <c r="N1487" s="553"/>
      <c r="O1487" s="553"/>
      <c r="P1487" s="553"/>
      <c r="Q1487" s="553"/>
      <c r="R1487" s="553"/>
      <c r="S1487" s="553"/>
    </row>
    <row r="1488" spans="14:19" ht="27.95" customHeight="1">
      <c r="N1488" s="553"/>
      <c r="O1488" s="553"/>
      <c r="P1488" s="553"/>
      <c r="Q1488" s="553"/>
      <c r="R1488" s="553"/>
      <c r="S1488" s="553"/>
    </row>
    <row r="1489" spans="14:19" ht="27.95" customHeight="1">
      <c r="N1489" s="553"/>
      <c r="O1489" s="553"/>
      <c r="P1489" s="553"/>
      <c r="Q1489" s="553"/>
      <c r="R1489" s="553"/>
      <c r="S1489" s="553"/>
    </row>
    <row r="1490" spans="14:19" ht="27.95" customHeight="1">
      <c r="N1490" s="553"/>
      <c r="O1490" s="553"/>
      <c r="P1490" s="553"/>
      <c r="Q1490" s="553"/>
      <c r="R1490" s="553"/>
      <c r="S1490" s="553"/>
    </row>
    <row r="1491" spans="14:19" ht="27.95" customHeight="1">
      <c r="N1491" s="553"/>
      <c r="O1491" s="553"/>
      <c r="P1491" s="553"/>
      <c r="Q1491" s="553"/>
      <c r="R1491" s="553"/>
      <c r="S1491" s="553"/>
    </row>
    <row r="1492" spans="14:19" ht="27.95" customHeight="1">
      <c r="N1492" s="553"/>
      <c r="O1492" s="553"/>
      <c r="P1492" s="553"/>
      <c r="Q1492" s="553"/>
      <c r="R1492" s="553"/>
      <c r="S1492" s="553"/>
    </row>
    <row r="1493" spans="14:19" ht="27.95" customHeight="1">
      <c r="N1493" s="553"/>
      <c r="O1493" s="553"/>
      <c r="P1493" s="553"/>
      <c r="Q1493" s="553"/>
      <c r="R1493" s="553"/>
      <c r="S1493" s="553"/>
    </row>
    <row r="1494" spans="14:19" ht="27.95" customHeight="1">
      <c r="N1494" s="553"/>
      <c r="O1494" s="553"/>
      <c r="P1494" s="553"/>
      <c r="Q1494" s="553"/>
      <c r="R1494" s="553"/>
      <c r="S1494" s="553"/>
    </row>
    <row r="1495" spans="14:19" ht="27.95" customHeight="1">
      <c r="N1495" s="553"/>
      <c r="O1495" s="553"/>
      <c r="P1495" s="553"/>
      <c r="Q1495" s="553"/>
      <c r="R1495" s="553"/>
      <c r="S1495" s="553"/>
    </row>
    <row r="1496" spans="14:19" ht="27.95" customHeight="1">
      <c r="N1496" s="553"/>
      <c r="O1496" s="553"/>
      <c r="P1496" s="553"/>
      <c r="Q1496" s="553"/>
      <c r="R1496" s="553"/>
      <c r="S1496" s="553"/>
    </row>
    <row r="1497" spans="14:19" ht="27.95" customHeight="1">
      <c r="N1497" s="553"/>
      <c r="O1497" s="553"/>
      <c r="P1497" s="553"/>
      <c r="Q1497" s="553"/>
      <c r="R1497" s="553"/>
      <c r="S1497" s="553"/>
    </row>
    <row r="1498" spans="14:19" ht="27.95" customHeight="1">
      <c r="N1498" s="553"/>
      <c r="O1498" s="553"/>
      <c r="P1498" s="553"/>
      <c r="Q1498" s="553"/>
      <c r="R1498" s="553"/>
      <c r="S1498" s="553"/>
    </row>
    <row r="1499" spans="14:19" ht="27.95" customHeight="1">
      <c r="N1499" s="553"/>
      <c r="O1499" s="553"/>
      <c r="P1499" s="553"/>
      <c r="Q1499" s="553"/>
      <c r="R1499" s="553"/>
      <c r="S1499" s="553"/>
    </row>
    <row r="1500" spans="14:19" ht="27.95" customHeight="1">
      <c r="N1500" s="553"/>
      <c r="O1500" s="553"/>
      <c r="P1500" s="553"/>
      <c r="Q1500" s="553"/>
      <c r="R1500" s="553"/>
      <c r="S1500" s="553"/>
    </row>
    <row r="1501" spans="14:19" ht="27.95" customHeight="1">
      <c r="N1501" s="553"/>
      <c r="O1501" s="553"/>
      <c r="P1501" s="553"/>
      <c r="Q1501" s="553"/>
      <c r="R1501" s="553"/>
      <c r="S1501" s="553"/>
    </row>
    <row r="1502" spans="14:19" ht="27.95" customHeight="1">
      <c r="N1502" s="553"/>
      <c r="O1502" s="553"/>
      <c r="P1502" s="553"/>
      <c r="Q1502" s="553"/>
      <c r="R1502" s="553"/>
      <c r="S1502" s="553"/>
    </row>
    <row r="1503" spans="14:19" ht="27.95" customHeight="1">
      <c r="N1503" s="553"/>
      <c r="O1503" s="553"/>
      <c r="P1503" s="553"/>
      <c r="Q1503" s="553"/>
      <c r="R1503" s="553"/>
      <c r="S1503" s="553"/>
    </row>
    <row r="1504" spans="14:19" ht="27.95" customHeight="1">
      <c r="N1504" s="553"/>
      <c r="O1504" s="553"/>
      <c r="P1504" s="553"/>
      <c r="Q1504" s="553"/>
      <c r="R1504" s="553"/>
      <c r="S1504" s="553"/>
    </row>
    <row r="1505" spans="14:19" ht="27.95" customHeight="1">
      <c r="N1505" s="553"/>
      <c r="O1505" s="553"/>
      <c r="P1505" s="553"/>
      <c r="Q1505" s="553"/>
      <c r="R1505" s="553"/>
      <c r="S1505" s="553"/>
    </row>
    <row r="1506" spans="14:19" ht="27.95" customHeight="1">
      <c r="N1506" s="553"/>
      <c r="O1506" s="553"/>
      <c r="P1506" s="553"/>
      <c r="Q1506" s="553"/>
      <c r="R1506" s="553"/>
      <c r="S1506" s="553"/>
    </row>
    <row r="1507" spans="14:19" ht="27.95" customHeight="1">
      <c r="N1507" s="553"/>
      <c r="O1507" s="553"/>
      <c r="P1507" s="553"/>
      <c r="Q1507" s="553"/>
      <c r="R1507" s="553"/>
      <c r="S1507" s="553"/>
    </row>
    <row r="1508" spans="14:19" ht="27.95" customHeight="1">
      <c r="N1508" s="553"/>
      <c r="O1508" s="553"/>
      <c r="P1508" s="553"/>
      <c r="Q1508" s="553"/>
      <c r="R1508" s="553"/>
      <c r="S1508" s="553"/>
    </row>
    <row r="1509" spans="14:19" ht="27.95" customHeight="1">
      <c r="N1509" s="553"/>
      <c r="O1509" s="553"/>
      <c r="P1509" s="553"/>
      <c r="Q1509" s="553"/>
      <c r="R1509" s="553"/>
      <c r="S1509" s="553"/>
    </row>
    <row r="1510" spans="14:19" ht="27.95" customHeight="1">
      <c r="N1510" s="553"/>
      <c r="O1510" s="553"/>
      <c r="P1510" s="553"/>
      <c r="Q1510" s="553"/>
      <c r="R1510" s="553"/>
      <c r="S1510" s="553"/>
    </row>
    <row r="1511" spans="14:19" ht="27.95" customHeight="1">
      <c r="N1511" s="553"/>
      <c r="O1511" s="553"/>
      <c r="P1511" s="553"/>
      <c r="Q1511" s="553"/>
      <c r="R1511" s="553"/>
      <c r="S1511" s="553"/>
    </row>
    <row r="1512" spans="14:19" ht="27.95" customHeight="1">
      <c r="N1512" s="553"/>
      <c r="O1512" s="553"/>
      <c r="P1512" s="553"/>
      <c r="Q1512" s="553"/>
      <c r="R1512" s="553"/>
      <c r="S1512" s="553"/>
    </row>
    <row r="1513" spans="14:19" ht="27.95" customHeight="1">
      <c r="N1513" s="553"/>
      <c r="O1513" s="553"/>
      <c r="P1513" s="553"/>
      <c r="Q1513" s="553"/>
      <c r="R1513" s="553"/>
      <c r="S1513" s="553"/>
    </row>
    <row r="1514" spans="14:19" ht="27.95" customHeight="1">
      <c r="N1514" s="553"/>
      <c r="O1514" s="553"/>
      <c r="P1514" s="553"/>
      <c r="Q1514" s="553"/>
      <c r="R1514" s="553"/>
      <c r="S1514" s="553"/>
    </row>
    <row r="1515" spans="14:19" ht="27.95" customHeight="1">
      <c r="N1515" s="553"/>
      <c r="O1515" s="553"/>
      <c r="P1515" s="553"/>
      <c r="Q1515" s="553"/>
      <c r="R1515" s="553"/>
      <c r="S1515" s="553"/>
    </row>
    <row r="1516" spans="14:19" ht="27.95" customHeight="1">
      <c r="N1516" s="553"/>
      <c r="O1516" s="553"/>
      <c r="P1516" s="553"/>
      <c r="Q1516" s="553"/>
      <c r="R1516" s="553"/>
      <c r="S1516" s="553"/>
    </row>
    <row r="1517" spans="14:19" ht="27.95" customHeight="1">
      <c r="N1517" s="553"/>
      <c r="O1517" s="553"/>
      <c r="P1517" s="553"/>
      <c r="Q1517" s="553"/>
      <c r="R1517" s="553"/>
      <c r="S1517" s="553"/>
    </row>
    <row r="1518" spans="14:19" ht="27.95" customHeight="1">
      <c r="N1518" s="553"/>
      <c r="O1518" s="553"/>
      <c r="P1518" s="553"/>
      <c r="Q1518" s="553"/>
      <c r="R1518" s="553"/>
      <c r="S1518" s="553"/>
    </row>
    <row r="1519" spans="14:19" ht="27.95" customHeight="1">
      <c r="N1519" s="553"/>
      <c r="O1519" s="553"/>
      <c r="P1519" s="553"/>
      <c r="Q1519" s="553"/>
      <c r="R1519" s="553"/>
      <c r="S1519" s="553"/>
    </row>
    <row r="1520" spans="14:19" ht="27.95" customHeight="1">
      <c r="N1520" s="553"/>
      <c r="O1520" s="553"/>
      <c r="P1520" s="553"/>
      <c r="Q1520" s="553"/>
      <c r="R1520" s="553"/>
      <c r="S1520" s="553"/>
    </row>
    <row r="1521" spans="14:19" ht="27.95" customHeight="1">
      <c r="N1521" s="553"/>
      <c r="O1521" s="553"/>
      <c r="P1521" s="553"/>
      <c r="Q1521" s="553"/>
      <c r="R1521" s="553"/>
      <c r="S1521" s="553"/>
    </row>
    <row r="1522" spans="14:19" ht="27.95" customHeight="1">
      <c r="N1522" s="553"/>
      <c r="O1522" s="553"/>
      <c r="P1522" s="553"/>
      <c r="Q1522" s="553"/>
      <c r="R1522" s="553"/>
      <c r="S1522" s="553"/>
    </row>
    <row r="1523" spans="14:19" ht="27.95" customHeight="1">
      <c r="N1523" s="553"/>
      <c r="O1523" s="553"/>
      <c r="P1523" s="553"/>
      <c r="Q1523" s="553"/>
      <c r="R1523" s="553"/>
      <c r="S1523" s="553"/>
    </row>
    <row r="1524" spans="14:19" ht="27.95" customHeight="1">
      <c r="N1524" s="553"/>
      <c r="O1524" s="553"/>
      <c r="P1524" s="553"/>
      <c r="Q1524" s="553"/>
      <c r="R1524" s="553"/>
      <c r="S1524" s="553"/>
    </row>
    <row r="1525" spans="14:19" ht="27.95" customHeight="1">
      <c r="N1525" s="553"/>
      <c r="O1525" s="553"/>
      <c r="P1525" s="553"/>
      <c r="Q1525" s="553"/>
      <c r="R1525" s="553"/>
      <c r="S1525" s="553"/>
    </row>
    <row r="1526" spans="14:19" ht="27.95" customHeight="1">
      <c r="N1526" s="553"/>
      <c r="O1526" s="553"/>
      <c r="P1526" s="553"/>
      <c r="Q1526" s="553"/>
      <c r="R1526" s="553"/>
      <c r="S1526" s="553"/>
    </row>
    <row r="1527" spans="14:19" ht="27.95" customHeight="1">
      <c r="N1527" s="553"/>
      <c r="O1527" s="553"/>
      <c r="P1527" s="553"/>
      <c r="Q1527" s="553"/>
      <c r="R1527" s="553"/>
      <c r="S1527" s="553"/>
    </row>
    <row r="1528" spans="14:19" ht="27.95" customHeight="1">
      <c r="N1528" s="553"/>
      <c r="O1528" s="553"/>
      <c r="P1528" s="553"/>
      <c r="Q1528" s="553"/>
      <c r="R1528" s="553"/>
      <c r="S1528" s="553"/>
    </row>
    <row r="1529" spans="14:19" ht="27.95" customHeight="1">
      <c r="N1529" s="553"/>
      <c r="O1529" s="553"/>
      <c r="P1529" s="553"/>
      <c r="Q1529" s="553"/>
      <c r="R1529" s="553"/>
      <c r="S1529" s="553"/>
    </row>
    <row r="1530" spans="14:19" ht="27.95" customHeight="1">
      <c r="N1530" s="553"/>
      <c r="O1530" s="553"/>
      <c r="P1530" s="553"/>
      <c r="Q1530" s="553"/>
      <c r="R1530" s="553"/>
      <c r="S1530" s="553"/>
    </row>
    <row r="1531" spans="14:19" ht="27.95" customHeight="1">
      <c r="N1531" s="553"/>
      <c r="O1531" s="553"/>
      <c r="P1531" s="553"/>
      <c r="Q1531" s="553"/>
      <c r="R1531" s="553"/>
      <c r="S1531" s="553"/>
    </row>
    <row r="1532" spans="14:19" ht="27.95" customHeight="1">
      <c r="N1532" s="553"/>
      <c r="O1532" s="553"/>
      <c r="P1532" s="553"/>
      <c r="Q1532" s="553"/>
      <c r="R1532" s="553"/>
      <c r="S1532" s="553"/>
    </row>
    <row r="1533" spans="14:19" ht="27.95" customHeight="1">
      <c r="N1533" s="553"/>
      <c r="O1533" s="553"/>
      <c r="P1533" s="553"/>
      <c r="Q1533" s="553"/>
      <c r="R1533" s="553"/>
      <c r="S1533" s="553"/>
    </row>
    <row r="1534" spans="14:19" ht="27.95" customHeight="1">
      <c r="N1534" s="553"/>
      <c r="O1534" s="553"/>
      <c r="P1534" s="553"/>
      <c r="Q1534" s="553"/>
      <c r="R1534" s="553"/>
      <c r="S1534" s="553"/>
    </row>
    <row r="1535" spans="14:19" ht="27.95" customHeight="1">
      <c r="N1535" s="553"/>
      <c r="O1535" s="553"/>
      <c r="P1535" s="553"/>
      <c r="Q1535" s="553"/>
      <c r="R1535" s="553"/>
      <c r="S1535" s="553"/>
    </row>
    <row r="1536" spans="14:19" ht="27.95" customHeight="1">
      <c r="N1536" s="553"/>
      <c r="O1536" s="553"/>
      <c r="P1536" s="553"/>
      <c r="Q1536" s="553"/>
      <c r="R1536" s="553"/>
      <c r="S1536" s="553"/>
    </row>
    <row r="1537" spans="14:19" ht="27.95" customHeight="1">
      <c r="N1537" s="553"/>
      <c r="O1537" s="553"/>
      <c r="P1537" s="553"/>
      <c r="Q1537" s="553"/>
      <c r="R1537" s="553"/>
      <c r="S1537" s="553"/>
    </row>
    <row r="1538" spans="14:19" ht="27.95" customHeight="1">
      <c r="N1538" s="553"/>
      <c r="O1538" s="553"/>
      <c r="P1538" s="553"/>
      <c r="Q1538" s="553"/>
      <c r="R1538" s="553"/>
      <c r="S1538" s="553"/>
    </row>
    <row r="1539" spans="14:19" ht="27.95" customHeight="1">
      <c r="N1539" s="553"/>
      <c r="O1539" s="553"/>
      <c r="P1539" s="553"/>
      <c r="Q1539" s="553"/>
      <c r="R1539" s="553"/>
      <c r="S1539" s="553"/>
    </row>
    <row r="1540" spans="14:19" ht="27.95" customHeight="1">
      <c r="N1540" s="553"/>
      <c r="O1540" s="553"/>
      <c r="P1540" s="553"/>
      <c r="Q1540" s="553"/>
      <c r="R1540" s="553"/>
      <c r="S1540" s="553"/>
    </row>
    <row r="1541" spans="14:19" ht="27.95" customHeight="1">
      <c r="N1541" s="553"/>
      <c r="O1541" s="553"/>
      <c r="P1541" s="553"/>
      <c r="Q1541" s="553"/>
      <c r="R1541" s="553"/>
      <c r="S1541" s="553"/>
    </row>
    <row r="1542" spans="14:19" ht="27.95" customHeight="1">
      <c r="N1542" s="553"/>
      <c r="O1542" s="553"/>
      <c r="P1542" s="553"/>
      <c r="Q1542" s="553"/>
      <c r="R1542" s="553"/>
      <c r="S1542" s="553"/>
    </row>
    <row r="1543" spans="14:19" ht="27.95" customHeight="1">
      <c r="N1543" s="553"/>
      <c r="O1543" s="553"/>
      <c r="P1543" s="553"/>
      <c r="Q1543" s="553"/>
      <c r="R1543" s="553"/>
      <c r="S1543" s="553"/>
    </row>
    <row r="1544" spans="14:19" ht="27.95" customHeight="1">
      <c r="N1544" s="553"/>
      <c r="O1544" s="553"/>
      <c r="P1544" s="553"/>
      <c r="Q1544" s="553"/>
      <c r="R1544" s="553"/>
      <c r="S1544" s="553"/>
    </row>
    <row r="1545" spans="14:19" ht="27.95" customHeight="1">
      <c r="N1545" s="553"/>
      <c r="O1545" s="553"/>
      <c r="P1545" s="553"/>
      <c r="Q1545" s="553"/>
      <c r="R1545" s="553"/>
      <c r="S1545" s="553"/>
    </row>
    <row r="1546" spans="14:19" ht="27.95" customHeight="1">
      <c r="N1546" s="553"/>
      <c r="O1546" s="553"/>
      <c r="P1546" s="553"/>
      <c r="Q1546" s="553"/>
      <c r="R1546" s="553"/>
      <c r="S1546" s="553"/>
    </row>
    <row r="1547" spans="14:19" ht="27.95" customHeight="1">
      <c r="N1547" s="553"/>
      <c r="O1547" s="553"/>
      <c r="P1547" s="553"/>
      <c r="Q1547" s="553"/>
      <c r="R1547" s="553"/>
      <c r="S1547" s="553"/>
    </row>
    <row r="1548" spans="14:19" ht="27.95" customHeight="1">
      <c r="N1548" s="553"/>
      <c r="O1548" s="553"/>
      <c r="P1548" s="553"/>
      <c r="Q1548" s="553"/>
      <c r="R1548" s="553"/>
      <c r="S1548" s="553"/>
    </row>
    <row r="1549" spans="14:19" ht="27.95" customHeight="1">
      <c r="N1549" s="553"/>
      <c r="O1549" s="553"/>
      <c r="P1549" s="553"/>
      <c r="Q1549" s="553"/>
      <c r="R1549" s="553"/>
      <c r="S1549" s="553"/>
    </row>
    <row r="1550" spans="14:19" ht="27.95" customHeight="1">
      <c r="N1550" s="553"/>
      <c r="O1550" s="553"/>
      <c r="P1550" s="553"/>
      <c r="Q1550" s="553"/>
      <c r="R1550" s="553"/>
      <c r="S1550" s="553"/>
    </row>
    <row r="1551" spans="14:19" ht="27.95" customHeight="1">
      <c r="N1551" s="553"/>
      <c r="O1551" s="553"/>
      <c r="P1551" s="553"/>
      <c r="Q1551" s="553"/>
      <c r="R1551" s="553"/>
      <c r="S1551" s="553"/>
    </row>
    <row r="1552" spans="14:19" ht="27.95" customHeight="1">
      <c r="N1552" s="553"/>
      <c r="O1552" s="553"/>
      <c r="P1552" s="553"/>
      <c r="Q1552" s="553"/>
      <c r="R1552" s="553"/>
      <c r="S1552" s="553"/>
    </row>
    <row r="1553" spans="14:19" ht="27.95" customHeight="1">
      <c r="N1553" s="553"/>
      <c r="O1553" s="553"/>
      <c r="P1553" s="553"/>
      <c r="Q1553" s="553"/>
      <c r="R1553" s="553"/>
      <c r="S1553" s="553"/>
    </row>
    <row r="1554" spans="14:19" ht="27.95" customHeight="1">
      <c r="N1554" s="553"/>
      <c r="O1554" s="553"/>
      <c r="P1554" s="553"/>
      <c r="Q1554" s="553"/>
      <c r="R1554" s="553"/>
      <c r="S1554" s="553"/>
    </row>
    <row r="1555" spans="14:19" ht="27.95" customHeight="1">
      <c r="N1555" s="553"/>
      <c r="O1555" s="553"/>
      <c r="P1555" s="553"/>
      <c r="Q1555" s="553"/>
      <c r="R1555" s="553"/>
      <c r="S1555" s="553"/>
    </row>
    <row r="1556" spans="14:19" ht="27.95" customHeight="1">
      <c r="N1556" s="553"/>
      <c r="O1556" s="553"/>
      <c r="P1556" s="553"/>
      <c r="Q1556" s="553"/>
      <c r="R1556" s="553"/>
      <c r="S1556" s="553"/>
    </row>
    <row r="1557" spans="14:19" ht="27.95" customHeight="1">
      <c r="N1557" s="553"/>
      <c r="O1557" s="553"/>
      <c r="P1557" s="553"/>
      <c r="Q1557" s="553"/>
      <c r="R1557" s="553"/>
      <c r="S1557" s="553"/>
    </row>
    <row r="1558" spans="14:19" ht="27.95" customHeight="1">
      <c r="N1558" s="553"/>
      <c r="O1558" s="553"/>
      <c r="P1558" s="553"/>
      <c r="Q1558" s="553"/>
      <c r="R1558" s="553"/>
      <c r="S1558" s="553"/>
    </row>
    <row r="1559" spans="14:19" ht="27.95" customHeight="1">
      <c r="N1559" s="553"/>
      <c r="O1559" s="553"/>
      <c r="P1559" s="553"/>
      <c r="Q1559" s="553"/>
      <c r="R1559" s="553"/>
      <c r="S1559" s="553"/>
    </row>
    <row r="1560" spans="14:19" ht="27.95" customHeight="1">
      <c r="N1560" s="553"/>
      <c r="O1560" s="553"/>
      <c r="P1560" s="553"/>
      <c r="Q1560" s="553"/>
      <c r="R1560" s="553"/>
      <c r="S1560" s="553"/>
    </row>
    <row r="1561" spans="14:19" ht="27.95" customHeight="1">
      <c r="N1561" s="553"/>
      <c r="O1561" s="553"/>
      <c r="P1561" s="553"/>
      <c r="Q1561" s="553"/>
      <c r="R1561" s="553"/>
      <c r="S1561" s="553"/>
    </row>
    <row r="1562" spans="14:19" ht="27.95" customHeight="1">
      <c r="N1562" s="553"/>
      <c r="O1562" s="553"/>
      <c r="P1562" s="553"/>
      <c r="Q1562" s="553"/>
      <c r="R1562" s="553"/>
      <c r="S1562" s="553"/>
    </row>
    <row r="1563" spans="14:19" ht="27.95" customHeight="1">
      <c r="N1563" s="553"/>
      <c r="O1563" s="553"/>
      <c r="P1563" s="553"/>
      <c r="Q1563" s="553"/>
      <c r="R1563" s="553"/>
      <c r="S1563" s="553"/>
    </row>
    <row r="1564" spans="14:19" ht="27.95" customHeight="1">
      <c r="N1564" s="553"/>
      <c r="O1564" s="553"/>
      <c r="P1564" s="553"/>
      <c r="Q1564" s="553"/>
      <c r="R1564" s="553"/>
      <c r="S1564" s="553"/>
    </row>
    <row r="1565" spans="14:19" ht="27.95" customHeight="1">
      <c r="N1565" s="553"/>
      <c r="O1565" s="553"/>
      <c r="P1565" s="553"/>
      <c r="Q1565" s="553"/>
      <c r="R1565" s="553"/>
      <c r="S1565" s="553"/>
    </row>
    <row r="1566" spans="14:19" ht="27.95" customHeight="1">
      <c r="N1566" s="553"/>
      <c r="O1566" s="553"/>
      <c r="P1566" s="553"/>
      <c r="Q1566" s="553"/>
      <c r="R1566" s="553"/>
      <c r="S1566" s="553"/>
    </row>
    <row r="1567" spans="14:19" ht="27.95" customHeight="1">
      <c r="N1567" s="553"/>
      <c r="O1567" s="553"/>
      <c r="P1567" s="553"/>
      <c r="Q1567" s="553"/>
      <c r="R1567" s="553"/>
      <c r="S1567" s="553"/>
    </row>
    <row r="1568" spans="14:19" ht="27.95" customHeight="1">
      <c r="N1568" s="553"/>
      <c r="O1568" s="553"/>
      <c r="P1568" s="553"/>
      <c r="Q1568" s="553"/>
      <c r="R1568" s="553"/>
      <c r="S1568" s="553"/>
    </row>
    <row r="1569" spans="14:19" ht="27.95" customHeight="1">
      <c r="N1569" s="553"/>
      <c r="O1569" s="553"/>
      <c r="P1569" s="553"/>
      <c r="Q1569" s="553"/>
      <c r="R1569" s="553"/>
      <c r="S1569" s="553"/>
    </row>
    <row r="1570" spans="14:19" ht="27.95" customHeight="1">
      <c r="N1570" s="553"/>
      <c r="O1570" s="553"/>
      <c r="P1570" s="553"/>
      <c r="Q1570" s="553"/>
      <c r="R1570" s="553"/>
      <c r="S1570" s="553"/>
    </row>
    <row r="1571" spans="14:19" ht="27.95" customHeight="1">
      <c r="N1571" s="553"/>
      <c r="O1571" s="553"/>
      <c r="P1571" s="553"/>
      <c r="Q1571" s="553"/>
      <c r="R1571" s="553"/>
      <c r="S1571" s="553"/>
    </row>
    <row r="1572" spans="14:19" ht="27.95" customHeight="1">
      <c r="N1572" s="553"/>
      <c r="O1572" s="553"/>
      <c r="P1572" s="553"/>
      <c r="Q1572" s="553"/>
      <c r="R1572" s="553"/>
      <c r="S1572" s="553"/>
    </row>
    <row r="1573" spans="14:19" ht="27.95" customHeight="1">
      <c r="N1573" s="553"/>
      <c r="O1573" s="553"/>
      <c r="P1573" s="553"/>
      <c r="Q1573" s="553"/>
      <c r="R1573" s="553"/>
      <c r="S1573" s="553"/>
    </row>
    <row r="1574" spans="14:19" ht="27.95" customHeight="1">
      <c r="N1574" s="553"/>
      <c r="O1574" s="553"/>
      <c r="P1574" s="553"/>
      <c r="Q1574" s="553"/>
      <c r="R1574" s="553"/>
      <c r="S1574" s="553"/>
    </row>
    <row r="1575" spans="14:19" ht="27.95" customHeight="1">
      <c r="N1575" s="553"/>
      <c r="O1575" s="553"/>
      <c r="P1575" s="553"/>
      <c r="Q1575" s="553"/>
      <c r="R1575" s="553"/>
      <c r="S1575" s="553"/>
    </row>
    <row r="1576" spans="14:19" ht="27.95" customHeight="1">
      <c r="N1576" s="553"/>
      <c r="O1576" s="553"/>
      <c r="P1576" s="553"/>
      <c r="Q1576" s="553"/>
      <c r="R1576" s="553"/>
      <c r="S1576" s="553"/>
    </row>
    <row r="1577" spans="14:19" ht="27.95" customHeight="1">
      <c r="N1577" s="553"/>
      <c r="O1577" s="553"/>
      <c r="P1577" s="553"/>
      <c r="Q1577" s="553"/>
      <c r="R1577" s="553"/>
      <c r="S1577" s="553"/>
    </row>
    <row r="1578" spans="14:19" ht="27.95" customHeight="1">
      <c r="N1578" s="553"/>
      <c r="O1578" s="553"/>
      <c r="P1578" s="553"/>
      <c r="Q1578" s="553"/>
      <c r="R1578" s="553"/>
      <c r="S1578" s="553"/>
    </row>
    <row r="1579" spans="14:19" ht="27.95" customHeight="1">
      <c r="N1579" s="553"/>
      <c r="O1579" s="553"/>
      <c r="P1579" s="553"/>
      <c r="Q1579" s="553"/>
      <c r="R1579" s="553"/>
      <c r="S1579" s="553"/>
    </row>
    <row r="1580" spans="14:19" ht="27.95" customHeight="1">
      <c r="N1580" s="553"/>
      <c r="O1580" s="553"/>
      <c r="P1580" s="553"/>
      <c r="Q1580" s="553"/>
      <c r="R1580" s="553"/>
      <c r="S1580" s="553"/>
    </row>
    <row r="1581" spans="14:19" ht="27.95" customHeight="1">
      <c r="N1581" s="553"/>
      <c r="O1581" s="553"/>
      <c r="P1581" s="553"/>
      <c r="Q1581" s="553"/>
      <c r="R1581" s="553"/>
      <c r="S1581" s="553"/>
    </row>
    <row r="1582" spans="14:19" ht="27.95" customHeight="1">
      <c r="N1582" s="553"/>
      <c r="O1582" s="553"/>
      <c r="P1582" s="553"/>
      <c r="Q1582" s="553"/>
      <c r="R1582" s="553"/>
      <c r="S1582" s="553"/>
    </row>
    <row r="1583" spans="14:19" ht="27.95" customHeight="1">
      <c r="N1583" s="553"/>
      <c r="O1583" s="553"/>
      <c r="P1583" s="553"/>
      <c r="Q1583" s="553"/>
      <c r="R1583" s="553"/>
      <c r="S1583" s="553"/>
    </row>
    <row r="1584" spans="14:19" ht="27.95" customHeight="1">
      <c r="N1584" s="553"/>
      <c r="O1584" s="553"/>
      <c r="P1584" s="553"/>
      <c r="Q1584" s="553"/>
      <c r="R1584" s="553"/>
      <c r="S1584" s="553"/>
    </row>
    <row r="1585" spans="14:19" ht="27.95" customHeight="1">
      <c r="N1585" s="553"/>
      <c r="O1585" s="553"/>
      <c r="P1585" s="553"/>
      <c r="Q1585" s="553"/>
      <c r="R1585" s="553"/>
      <c r="S1585" s="553"/>
    </row>
    <row r="1586" spans="14:19" ht="27.95" customHeight="1">
      <c r="N1586" s="553"/>
      <c r="O1586" s="553"/>
      <c r="P1586" s="553"/>
      <c r="Q1586" s="553"/>
      <c r="R1586" s="553"/>
      <c r="S1586" s="553"/>
    </row>
    <row r="1587" spans="14:19" ht="27.95" customHeight="1">
      <c r="N1587" s="553"/>
      <c r="O1587" s="553"/>
      <c r="P1587" s="553"/>
      <c r="Q1587" s="553"/>
      <c r="R1587" s="553"/>
      <c r="S1587" s="553"/>
    </row>
    <row r="1588" spans="14:19" ht="27.95" customHeight="1">
      <c r="N1588" s="553"/>
      <c r="O1588" s="553"/>
      <c r="P1588" s="553"/>
      <c r="Q1588" s="553"/>
      <c r="R1588" s="553"/>
      <c r="S1588" s="553"/>
    </row>
    <row r="1589" spans="14:19" ht="27.95" customHeight="1">
      <c r="N1589" s="553"/>
      <c r="O1589" s="553"/>
      <c r="P1589" s="553"/>
      <c r="Q1589" s="553"/>
      <c r="R1589" s="553"/>
      <c r="S1589" s="553"/>
    </row>
    <row r="1590" spans="14:19" ht="27.95" customHeight="1">
      <c r="N1590" s="553"/>
      <c r="O1590" s="553"/>
      <c r="P1590" s="553"/>
      <c r="Q1590" s="553"/>
      <c r="R1590" s="553"/>
      <c r="S1590" s="553"/>
    </row>
    <row r="1591" spans="14:19" ht="27.95" customHeight="1">
      <c r="N1591" s="553"/>
      <c r="O1591" s="553"/>
      <c r="P1591" s="553"/>
      <c r="Q1591" s="553"/>
      <c r="R1591" s="553"/>
      <c r="S1591" s="553"/>
    </row>
    <row r="1592" spans="14:19" ht="27.95" customHeight="1">
      <c r="N1592" s="553"/>
      <c r="O1592" s="553"/>
      <c r="P1592" s="553"/>
      <c r="Q1592" s="553"/>
      <c r="R1592" s="553"/>
      <c r="S1592" s="553"/>
    </row>
    <row r="1593" spans="14:19" ht="27.95" customHeight="1">
      <c r="N1593" s="553"/>
      <c r="O1593" s="553"/>
      <c r="P1593" s="553"/>
      <c r="Q1593" s="553"/>
      <c r="R1593" s="553"/>
      <c r="S1593" s="553"/>
    </row>
    <row r="1594" spans="14:19" ht="27.95" customHeight="1">
      <c r="N1594" s="553"/>
      <c r="O1594" s="553"/>
      <c r="P1594" s="553"/>
      <c r="Q1594" s="553"/>
      <c r="R1594" s="553"/>
      <c r="S1594" s="553"/>
    </row>
    <row r="1595" spans="14:19" ht="27.95" customHeight="1">
      <c r="N1595" s="553"/>
      <c r="O1595" s="553"/>
      <c r="P1595" s="553"/>
      <c r="Q1595" s="553"/>
      <c r="R1595" s="553"/>
      <c r="S1595" s="553"/>
    </row>
    <row r="1596" spans="14:19" ht="27.95" customHeight="1">
      <c r="N1596" s="553"/>
      <c r="O1596" s="553"/>
      <c r="P1596" s="553"/>
      <c r="Q1596" s="553"/>
      <c r="R1596" s="553"/>
      <c r="S1596" s="553"/>
    </row>
    <row r="1597" spans="14:19" ht="27.95" customHeight="1">
      <c r="N1597" s="553"/>
      <c r="O1597" s="553"/>
      <c r="P1597" s="553"/>
      <c r="Q1597" s="553"/>
      <c r="R1597" s="553"/>
      <c r="S1597" s="553"/>
    </row>
    <row r="1598" spans="14:19" ht="27.95" customHeight="1">
      <c r="N1598" s="553"/>
      <c r="O1598" s="553"/>
      <c r="P1598" s="553"/>
      <c r="Q1598" s="553"/>
      <c r="R1598" s="553"/>
      <c r="S1598" s="553"/>
    </row>
    <row r="1599" spans="14:19" ht="27.95" customHeight="1">
      <c r="N1599" s="553"/>
      <c r="O1599" s="553"/>
      <c r="P1599" s="553"/>
      <c r="Q1599" s="553"/>
      <c r="R1599" s="553"/>
      <c r="S1599" s="553"/>
    </row>
    <row r="1600" spans="14:19" ht="27.95" customHeight="1">
      <c r="N1600" s="553"/>
      <c r="O1600" s="553"/>
      <c r="P1600" s="553"/>
      <c r="Q1600" s="553"/>
      <c r="R1600" s="553"/>
      <c r="S1600" s="553"/>
    </row>
    <row r="1601" spans="14:19" ht="27.95" customHeight="1">
      <c r="N1601" s="553"/>
      <c r="O1601" s="553"/>
      <c r="P1601" s="553"/>
      <c r="Q1601" s="553"/>
      <c r="R1601" s="553"/>
      <c r="S1601" s="553"/>
    </row>
    <row r="1602" spans="14:19" ht="27.95" customHeight="1">
      <c r="N1602" s="553"/>
      <c r="O1602" s="553"/>
      <c r="P1602" s="553"/>
      <c r="Q1602" s="553"/>
      <c r="R1602" s="553"/>
      <c r="S1602" s="553"/>
    </row>
    <row r="1603" spans="14:19" ht="27.95" customHeight="1">
      <c r="N1603" s="553"/>
      <c r="O1603" s="553"/>
      <c r="P1603" s="553"/>
      <c r="Q1603" s="553"/>
      <c r="R1603" s="553"/>
      <c r="S1603" s="553"/>
    </row>
    <row r="1604" spans="14:19" ht="27.95" customHeight="1">
      <c r="N1604" s="553"/>
      <c r="O1604" s="553"/>
      <c r="P1604" s="553"/>
      <c r="Q1604" s="553"/>
      <c r="R1604" s="553"/>
      <c r="S1604" s="553"/>
    </row>
    <row r="1605" spans="14:19" ht="27.95" customHeight="1">
      <c r="N1605" s="553"/>
      <c r="O1605" s="553"/>
      <c r="P1605" s="553"/>
      <c r="Q1605" s="553"/>
      <c r="R1605" s="553"/>
      <c r="S1605" s="553"/>
    </row>
    <row r="1606" spans="14:19" ht="27.95" customHeight="1">
      <c r="N1606" s="553"/>
      <c r="O1606" s="553"/>
      <c r="P1606" s="553"/>
      <c r="Q1606" s="553"/>
      <c r="R1606" s="553"/>
      <c r="S1606" s="553"/>
    </row>
    <row r="1607" spans="14:19" ht="27.95" customHeight="1">
      <c r="N1607" s="553"/>
      <c r="O1607" s="553"/>
      <c r="P1607" s="553"/>
      <c r="Q1607" s="553"/>
      <c r="R1607" s="553"/>
      <c r="S1607" s="553"/>
    </row>
    <row r="1608" spans="14:19" ht="27.95" customHeight="1">
      <c r="N1608" s="553"/>
      <c r="O1608" s="553"/>
      <c r="P1608" s="553"/>
      <c r="Q1608" s="553"/>
      <c r="R1608" s="553"/>
      <c r="S1608" s="553"/>
    </row>
    <row r="1609" spans="14:19" ht="27.95" customHeight="1">
      <c r="N1609" s="553"/>
      <c r="O1609" s="553"/>
      <c r="P1609" s="553"/>
      <c r="Q1609" s="553"/>
      <c r="R1609" s="553"/>
      <c r="S1609" s="553"/>
    </row>
    <row r="1610" spans="14:19" ht="27.95" customHeight="1">
      <c r="N1610" s="553"/>
      <c r="O1610" s="553"/>
      <c r="P1610" s="553"/>
      <c r="Q1610" s="553"/>
      <c r="R1610" s="553"/>
      <c r="S1610" s="553"/>
    </row>
    <row r="1611" spans="14:19" ht="27.95" customHeight="1">
      <c r="N1611" s="553"/>
      <c r="O1611" s="553"/>
      <c r="P1611" s="553"/>
      <c r="Q1611" s="553"/>
      <c r="R1611" s="553"/>
      <c r="S1611" s="553"/>
    </row>
    <row r="1612" spans="14:19" ht="27.95" customHeight="1">
      <c r="N1612" s="553"/>
      <c r="O1612" s="553"/>
      <c r="P1612" s="553"/>
      <c r="Q1612" s="553"/>
      <c r="R1612" s="553"/>
      <c r="S1612" s="553"/>
    </row>
    <row r="1613" spans="14:19" ht="27.95" customHeight="1">
      <c r="N1613" s="553"/>
      <c r="O1613" s="553"/>
      <c r="P1613" s="553"/>
      <c r="Q1613" s="553"/>
      <c r="R1613" s="553"/>
      <c r="S1613" s="553"/>
    </row>
    <row r="1614" spans="14:19" ht="27.95" customHeight="1">
      <c r="N1614" s="553"/>
      <c r="O1614" s="553"/>
      <c r="P1614" s="553"/>
      <c r="Q1614" s="553"/>
      <c r="R1614" s="553"/>
      <c r="S1614" s="553"/>
    </row>
    <row r="1615" spans="14:19" ht="27.95" customHeight="1">
      <c r="N1615" s="553"/>
      <c r="O1615" s="553"/>
      <c r="P1615" s="553"/>
      <c r="Q1615" s="553"/>
      <c r="R1615" s="553"/>
      <c r="S1615" s="553"/>
    </row>
    <row r="1616" spans="14:19" ht="27.95" customHeight="1">
      <c r="N1616" s="553"/>
      <c r="O1616" s="553"/>
      <c r="P1616" s="553"/>
      <c r="Q1616" s="553"/>
      <c r="R1616" s="553"/>
      <c r="S1616" s="553"/>
    </row>
    <row r="1617" spans="14:19" ht="27.95" customHeight="1">
      <c r="N1617" s="553"/>
      <c r="O1617" s="553"/>
      <c r="P1617" s="553"/>
      <c r="Q1617" s="553"/>
      <c r="R1617" s="553"/>
      <c r="S1617" s="553"/>
    </row>
    <row r="1618" spans="14:19" ht="27.95" customHeight="1">
      <c r="N1618" s="553"/>
      <c r="O1618" s="553"/>
      <c r="P1618" s="553"/>
      <c r="Q1618" s="553"/>
      <c r="R1618" s="553"/>
      <c r="S1618" s="553"/>
    </row>
    <row r="1619" spans="14:19" ht="27.95" customHeight="1">
      <c r="N1619" s="553"/>
      <c r="O1619" s="553"/>
      <c r="P1619" s="553"/>
      <c r="Q1619" s="553"/>
      <c r="R1619" s="553"/>
      <c r="S1619" s="553"/>
    </row>
    <row r="1620" spans="14:19" ht="27.95" customHeight="1">
      <c r="N1620" s="553"/>
      <c r="O1620" s="553"/>
      <c r="P1620" s="553"/>
      <c r="Q1620" s="553"/>
      <c r="R1620" s="553"/>
      <c r="S1620" s="553"/>
    </row>
    <row r="1621" spans="14:19" ht="27.95" customHeight="1">
      <c r="N1621" s="553"/>
      <c r="O1621" s="553"/>
      <c r="P1621" s="553"/>
      <c r="Q1621" s="553"/>
      <c r="R1621" s="553"/>
      <c r="S1621" s="553"/>
    </row>
    <row r="1622" spans="14:19" ht="27.95" customHeight="1">
      <c r="N1622" s="553"/>
      <c r="O1622" s="553"/>
      <c r="P1622" s="553"/>
      <c r="Q1622" s="553"/>
      <c r="R1622" s="553"/>
      <c r="S1622" s="553"/>
    </row>
    <row r="1623" spans="14:19" ht="27.95" customHeight="1">
      <c r="N1623" s="553"/>
      <c r="O1623" s="553"/>
      <c r="P1623" s="553"/>
      <c r="Q1623" s="553"/>
      <c r="R1623" s="553"/>
      <c r="S1623" s="553"/>
    </row>
    <row r="1624" spans="14:19" ht="27.95" customHeight="1">
      <c r="N1624" s="553"/>
      <c r="O1624" s="553"/>
      <c r="P1624" s="553"/>
      <c r="Q1624" s="553"/>
      <c r="R1624" s="553"/>
      <c r="S1624" s="553"/>
    </row>
    <row r="1625" spans="14:19" ht="27.95" customHeight="1">
      <c r="N1625" s="553"/>
      <c r="O1625" s="553"/>
      <c r="P1625" s="553"/>
      <c r="Q1625" s="553"/>
      <c r="R1625" s="553"/>
      <c r="S1625" s="553"/>
    </row>
    <row r="1626" spans="14:19" ht="27.95" customHeight="1">
      <c r="N1626" s="553"/>
      <c r="O1626" s="553"/>
      <c r="P1626" s="553"/>
      <c r="Q1626" s="553"/>
      <c r="R1626" s="553"/>
      <c r="S1626" s="553"/>
    </row>
    <row r="1627" spans="14:19" ht="27.95" customHeight="1">
      <c r="N1627" s="553"/>
      <c r="O1627" s="553"/>
      <c r="P1627" s="553"/>
      <c r="Q1627" s="553"/>
      <c r="R1627" s="553"/>
      <c r="S1627" s="553"/>
    </row>
    <row r="1628" spans="14:19" ht="27.95" customHeight="1">
      <c r="N1628" s="553"/>
      <c r="O1628" s="553"/>
      <c r="P1628" s="553"/>
      <c r="Q1628" s="553"/>
      <c r="R1628" s="553"/>
      <c r="S1628" s="553"/>
    </row>
    <row r="1629" spans="14:19" ht="27.95" customHeight="1">
      <c r="N1629" s="553"/>
      <c r="O1629" s="553"/>
      <c r="P1629" s="553"/>
      <c r="Q1629" s="553"/>
      <c r="R1629" s="553"/>
      <c r="S1629" s="553"/>
    </row>
    <row r="1630" spans="14:19" ht="27.95" customHeight="1">
      <c r="N1630" s="553"/>
      <c r="O1630" s="553"/>
      <c r="P1630" s="553"/>
      <c r="Q1630" s="553"/>
      <c r="R1630" s="553"/>
      <c r="S1630" s="553"/>
    </row>
    <row r="1631" spans="14:19" ht="27.95" customHeight="1">
      <c r="N1631" s="553"/>
      <c r="O1631" s="553"/>
      <c r="P1631" s="553"/>
      <c r="Q1631" s="553"/>
      <c r="R1631" s="553"/>
      <c r="S1631" s="553"/>
    </row>
    <row r="1632" spans="14:19" ht="27.95" customHeight="1">
      <c r="N1632" s="553"/>
      <c r="O1632" s="553"/>
      <c r="P1632" s="553"/>
      <c r="Q1632" s="553"/>
      <c r="R1632" s="553"/>
      <c r="S1632" s="553"/>
    </row>
    <row r="1633" spans="14:19" ht="27.95" customHeight="1">
      <c r="N1633" s="553"/>
      <c r="O1633" s="553"/>
      <c r="P1633" s="553"/>
      <c r="Q1633" s="553"/>
      <c r="R1633" s="553"/>
      <c r="S1633" s="553"/>
    </row>
    <row r="1634" spans="14:19" ht="27.95" customHeight="1">
      <c r="N1634" s="553"/>
      <c r="O1634" s="553"/>
      <c r="P1634" s="553"/>
      <c r="Q1634" s="553"/>
      <c r="R1634" s="553"/>
      <c r="S1634" s="553"/>
    </row>
    <row r="1635" spans="14:19" ht="27.95" customHeight="1">
      <c r="N1635" s="553"/>
      <c r="O1635" s="553"/>
      <c r="P1635" s="553"/>
      <c r="Q1635" s="553"/>
      <c r="R1635" s="553"/>
      <c r="S1635" s="553"/>
    </row>
    <row r="1636" spans="14:19" ht="27.95" customHeight="1">
      <c r="N1636" s="553"/>
      <c r="O1636" s="553"/>
      <c r="P1636" s="553"/>
      <c r="Q1636" s="553"/>
      <c r="R1636" s="553"/>
      <c r="S1636" s="553"/>
    </row>
    <row r="1637" spans="14:19" ht="27.95" customHeight="1">
      <c r="N1637" s="553"/>
      <c r="O1637" s="553"/>
      <c r="P1637" s="553"/>
      <c r="Q1637" s="553"/>
      <c r="R1637" s="553"/>
      <c r="S1637" s="553"/>
    </row>
    <row r="1638" spans="14:19" ht="27.95" customHeight="1">
      <c r="N1638" s="553"/>
      <c r="O1638" s="553"/>
      <c r="P1638" s="553"/>
      <c r="Q1638" s="553"/>
      <c r="R1638" s="553"/>
      <c r="S1638" s="553"/>
    </row>
    <row r="1639" spans="14:19" ht="27.95" customHeight="1">
      <c r="N1639" s="553"/>
      <c r="O1639" s="553"/>
      <c r="P1639" s="553"/>
      <c r="Q1639" s="553"/>
      <c r="R1639" s="553"/>
      <c r="S1639" s="553"/>
    </row>
    <row r="1640" spans="14:19" ht="27.95" customHeight="1">
      <c r="N1640" s="553"/>
      <c r="O1640" s="553"/>
      <c r="P1640" s="553"/>
      <c r="Q1640" s="553"/>
      <c r="R1640" s="553"/>
      <c r="S1640" s="553"/>
    </row>
    <row r="1641" spans="14:19" ht="27.95" customHeight="1">
      <c r="N1641" s="553"/>
      <c r="O1641" s="553"/>
      <c r="P1641" s="553"/>
      <c r="Q1641" s="553"/>
      <c r="R1641" s="553"/>
      <c r="S1641" s="553"/>
    </row>
    <row r="1642" spans="14:19" ht="27.95" customHeight="1">
      <c r="N1642" s="553"/>
      <c r="O1642" s="553"/>
      <c r="P1642" s="553"/>
      <c r="Q1642" s="553"/>
      <c r="R1642" s="553"/>
      <c r="S1642" s="553"/>
    </row>
    <row r="1643" spans="14:19" ht="27.95" customHeight="1">
      <c r="N1643" s="553"/>
      <c r="O1643" s="553"/>
      <c r="P1643" s="553"/>
      <c r="Q1643" s="553"/>
      <c r="R1643" s="553"/>
      <c r="S1643" s="553"/>
    </row>
    <row r="1644" spans="14:19" ht="27.95" customHeight="1">
      <c r="N1644" s="553"/>
      <c r="O1644" s="553"/>
      <c r="P1644" s="553"/>
      <c r="Q1644" s="553"/>
      <c r="R1644" s="553"/>
      <c r="S1644" s="553"/>
    </row>
    <row r="1645" spans="14:19" ht="27.95" customHeight="1">
      <c r="N1645" s="553"/>
      <c r="O1645" s="553"/>
      <c r="P1645" s="553"/>
      <c r="Q1645" s="553"/>
      <c r="R1645" s="553"/>
      <c r="S1645" s="553"/>
    </row>
    <row r="1646" spans="14:19" ht="27.95" customHeight="1">
      <c r="N1646" s="553"/>
      <c r="O1646" s="553"/>
      <c r="P1646" s="553"/>
      <c r="Q1646" s="553"/>
      <c r="R1646" s="553"/>
      <c r="S1646" s="553"/>
    </row>
    <row r="1647" spans="14:19" ht="27.95" customHeight="1">
      <c r="N1647" s="553"/>
      <c r="O1647" s="553"/>
      <c r="P1647" s="553"/>
      <c r="Q1647" s="553"/>
      <c r="R1647" s="553"/>
      <c r="S1647" s="553"/>
    </row>
    <row r="1648" spans="14:19" ht="27.95" customHeight="1">
      <c r="N1648" s="553"/>
      <c r="O1648" s="553"/>
      <c r="P1648" s="553"/>
      <c r="Q1648" s="553"/>
      <c r="R1648" s="553"/>
      <c r="S1648" s="553"/>
    </row>
    <row r="1649" spans="14:19" ht="27.95" customHeight="1">
      <c r="N1649" s="553"/>
      <c r="O1649" s="553"/>
      <c r="P1649" s="553"/>
      <c r="Q1649" s="553"/>
      <c r="R1649" s="553"/>
      <c r="S1649" s="553"/>
    </row>
    <row r="1650" spans="14:19" ht="27.95" customHeight="1">
      <c r="N1650" s="553"/>
      <c r="O1650" s="553"/>
      <c r="P1650" s="553"/>
      <c r="Q1650" s="553"/>
      <c r="R1650" s="553"/>
      <c r="S1650" s="553"/>
    </row>
    <row r="1651" spans="14:19" ht="27.95" customHeight="1">
      <c r="N1651" s="553"/>
      <c r="O1651" s="553"/>
      <c r="P1651" s="553"/>
      <c r="Q1651" s="553"/>
      <c r="R1651" s="553"/>
      <c r="S1651" s="553"/>
    </row>
    <row r="1652" spans="14:19" ht="27.95" customHeight="1">
      <c r="N1652" s="553"/>
      <c r="O1652" s="553"/>
      <c r="P1652" s="553"/>
      <c r="Q1652" s="553"/>
      <c r="R1652" s="553"/>
      <c r="S1652" s="553"/>
    </row>
    <row r="1653" spans="14:19" ht="27.95" customHeight="1">
      <c r="N1653" s="553"/>
      <c r="O1653" s="553"/>
      <c r="P1653" s="553"/>
      <c r="Q1653" s="553"/>
      <c r="R1653" s="553"/>
      <c r="S1653" s="553"/>
    </row>
    <row r="1654" spans="14:19" ht="27.95" customHeight="1">
      <c r="N1654" s="553"/>
      <c r="O1654" s="553"/>
      <c r="P1654" s="553"/>
      <c r="Q1654" s="553"/>
      <c r="R1654" s="553"/>
      <c r="S1654" s="553"/>
    </row>
    <row r="1655" spans="14:19" ht="27.95" customHeight="1">
      <c r="N1655" s="553"/>
      <c r="O1655" s="553"/>
      <c r="P1655" s="553"/>
      <c r="Q1655" s="553"/>
      <c r="R1655" s="553"/>
      <c r="S1655" s="553"/>
    </row>
    <row r="1656" spans="14:19" ht="27.95" customHeight="1">
      <c r="N1656" s="553"/>
      <c r="O1656" s="553"/>
      <c r="P1656" s="553"/>
      <c r="Q1656" s="553"/>
      <c r="R1656" s="553"/>
      <c r="S1656" s="553"/>
    </row>
    <row r="1657" spans="14:19" ht="27.95" customHeight="1">
      <c r="N1657" s="553"/>
      <c r="O1657" s="553"/>
      <c r="P1657" s="553"/>
      <c r="Q1657" s="553"/>
      <c r="R1657" s="553"/>
      <c r="S1657" s="553"/>
    </row>
    <row r="1658" spans="14:19" ht="27.95" customHeight="1">
      <c r="N1658" s="553"/>
      <c r="O1658" s="553"/>
      <c r="P1658" s="553"/>
      <c r="Q1658" s="553"/>
      <c r="R1658" s="553"/>
      <c r="S1658" s="553"/>
    </row>
    <row r="1659" spans="14:19" ht="27.95" customHeight="1">
      <c r="N1659" s="553"/>
      <c r="O1659" s="553"/>
      <c r="P1659" s="553"/>
      <c r="Q1659" s="553"/>
      <c r="R1659" s="553"/>
      <c r="S1659" s="553"/>
    </row>
    <row r="1660" spans="14:19" ht="27.95" customHeight="1">
      <c r="N1660" s="553"/>
      <c r="O1660" s="553"/>
      <c r="P1660" s="553"/>
      <c r="Q1660" s="553"/>
      <c r="R1660" s="553"/>
      <c r="S1660" s="553"/>
    </row>
    <row r="1661" spans="14:19" ht="27.95" customHeight="1">
      <c r="N1661" s="553"/>
      <c r="O1661" s="553"/>
      <c r="P1661" s="553"/>
      <c r="Q1661" s="553"/>
      <c r="R1661" s="553"/>
      <c r="S1661" s="553"/>
    </row>
    <row r="1662" spans="14:19" ht="27.95" customHeight="1">
      <c r="N1662" s="553"/>
      <c r="O1662" s="553"/>
      <c r="P1662" s="553"/>
      <c r="Q1662" s="553"/>
      <c r="R1662" s="553"/>
      <c r="S1662" s="553"/>
    </row>
    <row r="1663" spans="14:19" ht="27.95" customHeight="1">
      <c r="N1663" s="553"/>
      <c r="O1663" s="553"/>
      <c r="P1663" s="553"/>
      <c r="Q1663" s="553"/>
      <c r="R1663" s="553"/>
      <c r="S1663" s="553"/>
    </row>
    <row r="1664" spans="14:19" ht="27.95" customHeight="1">
      <c r="N1664" s="553"/>
      <c r="O1664" s="553"/>
      <c r="P1664" s="553"/>
      <c r="Q1664" s="553"/>
      <c r="R1664" s="553"/>
      <c r="S1664" s="553"/>
    </row>
    <row r="1665" spans="14:19" ht="27.95" customHeight="1">
      <c r="N1665" s="553"/>
      <c r="O1665" s="553"/>
      <c r="P1665" s="553"/>
      <c r="Q1665" s="553"/>
      <c r="R1665" s="553"/>
      <c r="S1665" s="553"/>
    </row>
    <row r="1666" spans="14:19" ht="27.95" customHeight="1">
      <c r="N1666" s="553"/>
      <c r="O1666" s="553"/>
      <c r="P1666" s="553"/>
      <c r="Q1666" s="553"/>
      <c r="R1666" s="553"/>
      <c r="S1666" s="553"/>
    </row>
    <row r="1667" spans="14:19" ht="27.95" customHeight="1">
      <c r="N1667" s="553"/>
      <c r="O1667" s="553"/>
      <c r="P1667" s="553"/>
      <c r="Q1667" s="553"/>
      <c r="R1667" s="553"/>
      <c r="S1667" s="553"/>
    </row>
    <row r="1668" spans="14:19" ht="27.95" customHeight="1">
      <c r="N1668" s="553"/>
      <c r="O1668" s="553"/>
      <c r="P1668" s="553"/>
      <c r="Q1668" s="553"/>
      <c r="R1668" s="553"/>
      <c r="S1668" s="553"/>
    </row>
    <row r="1669" spans="14:19" ht="27.95" customHeight="1">
      <c r="N1669" s="553"/>
      <c r="O1669" s="553"/>
      <c r="P1669" s="553"/>
      <c r="Q1669" s="553"/>
      <c r="R1669" s="553"/>
      <c r="S1669" s="553"/>
    </row>
    <row r="1670" spans="14:19" ht="27.95" customHeight="1">
      <c r="N1670" s="553"/>
      <c r="O1670" s="553"/>
      <c r="P1670" s="553"/>
      <c r="Q1670" s="553"/>
      <c r="R1670" s="553"/>
      <c r="S1670" s="553"/>
    </row>
    <row r="1671" spans="14:19" ht="27.95" customHeight="1">
      <c r="N1671" s="553"/>
      <c r="O1671" s="553"/>
      <c r="P1671" s="553"/>
      <c r="Q1671" s="553"/>
      <c r="R1671" s="553"/>
      <c r="S1671" s="553"/>
    </row>
    <row r="1672" spans="14:19" ht="27.95" customHeight="1">
      <c r="N1672" s="553"/>
      <c r="O1672" s="553"/>
      <c r="P1672" s="553"/>
      <c r="Q1672" s="553"/>
      <c r="R1672" s="553"/>
      <c r="S1672" s="553"/>
    </row>
    <row r="1673" spans="14:19" ht="27.95" customHeight="1">
      <c r="N1673" s="553"/>
      <c r="O1673" s="553"/>
      <c r="P1673" s="553"/>
      <c r="Q1673" s="553"/>
      <c r="R1673" s="553"/>
      <c r="S1673" s="553"/>
    </row>
    <row r="1674" spans="14:19" ht="27.95" customHeight="1">
      <c r="N1674" s="553"/>
      <c r="O1674" s="553"/>
      <c r="P1674" s="553"/>
      <c r="Q1674" s="553"/>
      <c r="R1674" s="553"/>
      <c r="S1674" s="553"/>
    </row>
    <row r="1675" spans="14:19" ht="27.95" customHeight="1">
      <c r="N1675" s="553"/>
      <c r="O1675" s="553"/>
      <c r="P1675" s="553"/>
      <c r="Q1675" s="553"/>
      <c r="R1675" s="553"/>
      <c r="S1675" s="553"/>
    </row>
    <row r="1676" spans="14:19" ht="27.95" customHeight="1">
      <c r="N1676" s="553"/>
      <c r="O1676" s="553"/>
      <c r="P1676" s="553"/>
      <c r="Q1676" s="553"/>
      <c r="R1676" s="553"/>
      <c r="S1676" s="553"/>
    </row>
    <row r="1677" spans="14:19" ht="27.95" customHeight="1">
      <c r="N1677" s="553"/>
      <c r="O1677" s="553"/>
      <c r="P1677" s="553"/>
      <c r="Q1677" s="553"/>
      <c r="R1677" s="553"/>
      <c r="S1677" s="553"/>
    </row>
    <row r="1678" spans="14:19" ht="27.95" customHeight="1">
      <c r="N1678" s="553"/>
      <c r="O1678" s="553"/>
      <c r="P1678" s="553"/>
      <c r="Q1678" s="553"/>
      <c r="R1678" s="553"/>
      <c r="S1678" s="553"/>
    </row>
    <row r="1679" spans="14:19" ht="27.95" customHeight="1">
      <c r="N1679" s="553"/>
      <c r="O1679" s="553"/>
      <c r="P1679" s="553"/>
      <c r="Q1679" s="553"/>
      <c r="R1679" s="553"/>
      <c r="S1679" s="553"/>
    </row>
    <row r="1680" spans="14:19" ht="27.95" customHeight="1">
      <c r="N1680" s="553"/>
      <c r="O1680" s="553"/>
      <c r="P1680" s="553"/>
      <c r="Q1680" s="553"/>
      <c r="R1680" s="553"/>
      <c r="S1680" s="553"/>
    </row>
    <row r="1681" spans="14:19" ht="27.95" customHeight="1">
      <c r="N1681" s="553"/>
      <c r="O1681" s="553"/>
      <c r="P1681" s="553"/>
      <c r="Q1681" s="553"/>
      <c r="R1681" s="553"/>
      <c r="S1681" s="553"/>
    </row>
    <row r="1682" spans="14:19" ht="27.95" customHeight="1">
      <c r="N1682" s="553"/>
      <c r="O1682" s="553"/>
      <c r="P1682" s="553"/>
      <c r="Q1682" s="553"/>
      <c r="R1682" s="553"/>
      <c r="S1682" s="553"/>
    </row>
    <row r="1683" spans="14:19" ht="27.95" customHeight="1">
      <c r="N1683" s="553"/>
      <c r="O1683" s="553"/>
      <c r="P1683" s="553"/>
      <c r="Q1683" s="553"/>
      <c r="R1683" s="553"/>
      <c r="S1683" s="553"/>
    </row>
    <row r="1684" spans="14:19" ht="27.95" customHeight="1">
      <c r="N1684" s="553"/>
      <c r="O1684" s="553"/>
      <c r="P1684" s="553"/>
      <c r="Q1684" s="553"/>
      <c r="R1684" s="553"/>
      <c r="S1684" s="553"/>
    </row>
    <row r="1685" spans="14:19" ht="27.95" customHeight="1">
      <c r="N1685" s="553"/>
      <c r="O1685" s="553"/>
      <c r="P1685" s="553"/>
      <c r="Q1685" s="553"/>
      <c r="R1685" s="553"/>
      <c r="S1685" s="553"/>
    </row>
    <row r="1686" spans="14:19" ht="27.95" customHeight="1">
      <c r="N1686" s="553"/>
      <c r="O1686" s="553"/>
      <c r="P1686" s="553"/>
      <c r="Q1686" s="553"/>
      <c r="R1686" s="553"/>
      <c r="S1686" s="553"/>
    </row>
    <row r="1687" spans="14:19" ht="27.95" customHeight="1">
      <c r="N1687" s="553"/>
      <c r="O1687" s="553"/>
      <c r="P1687" s="553"/>
      <c r="Q1687" s="553"/>
      <c r="R1687" s="553"/>
      <c r="S1687" s="553"/>
    </row>
    <row r="1688" spans="14:19" ht="27.95" customHeight="1">
      <c r="N1688" s="553"/>
      <c r="O1688" s="553"/>
      <c r="P1688" s="553"/>
      <c r="Q1688" s="553"/>
      <c r="R1688" s="553"/>
      <c r="S1688" s="553"/>
    </row>
    <row r="1689" spans="14:19" ht="27.95" customHeight="1">
      <c r="N1689" s="553"/>
      <c r="O1689" s="553"/>
      <c r="P1689" s="553"/>
      <c r="Q1689" s="553"/>
      <c r="R1689" s="553"/>
      <c r="S1689" s="553"/>
    </row>
    <row r="1690" spans="14:19" ht="27.95" customHeight="1">
      <c r="N1690" s="553"/>
      <c r="O1690" s="553"/>
      <c r="P1690" s="553"/>
      <c r="Q1690" s="553"/>
      <c r="R1690" s="553"/>
      <c r="S1690" s="553"/>
    </row>
    <row r="1691" spans="14:19" ht="27.95" customHeight="1">
      <c r="N1691" s="553"/>
      <c r="O1691" s="553"/>
      <c r="P1691" s="553"/>
      <c r="Q1691" s="553"/>
      <c r="R1691" s="553"/>
      <c r="S1691" s="553"/>
    </row>
    <row r="1692" spans="14:19" ht="27.95" customHeight="1">
      <c r="N1692" s="553"/>
      <c r="O1692" s="553"/>
      <c r="P1692" s="553"/>
      <c r="Q1692" s="553"/>
      <c r="R1692" s="553"/>
      <c r="S1692" s="553"/>
    </row>
    <row r="1693" spans="14:19" ht="27.95" customHeight="1">
      <c r="N1693" s="553"/>
      <c r="O1693" s="553"/>
      <c r="P1693" s="553"/>
      <c r="Q1693" s="553"/>
      <c r="R1693" s="553"/>
      <c r="S1693" s="553"/>
    </row>
    <row r="1694" spans="14:19" ht="27.95" customHeight="1">
      <c r="N1694" s="553"/>
      <c r="O1694" s="553"/>
      <c r="P1694" s="553"/>
      <c r="Q1694" s="553"/>
      <c r="R1694" s="553"/>
      <c r="S1694" s="553"/>
    </row>
    <row r="1695" spans="14:19" ht="27.95" customHeight="1">
      <c r="N1695" s="553"/>
      <c r="O1695" s="553"/>
      <c r="P1695" s="553"/>
      <c r="Q1695" s="553"/>
      <c r="R1695" s="553"/>
      <c r="S1695" s="553"/>
    </row>
    <row r="1696" spans="14:19" ht="27.95" customHeight="1">
      <c r="N1696" s="553"/>
      <c r="O1696" s="553"/>
      <c r="P1696" s="553"/>
      <c r="Q1696" s="553"/>
      <c r="R1696" s="553"/>
      <c r="S1696" s="553"/>
    </row>
    <row r="1697" spans="14:19" ht="27.95" customHeight="1">
      <c r="N1697" s="553"/>
      <c r="O1697" s="553"/>
      <c r="P1697" s="553"/>
      <c r="Q1697" s="553"/>
      <c r="R1697" s="553"/>
      <c r="S1697" s="553"/>
    </row>
    <row r="1698" spans="14:19" ht="27.95" customHeight="1">
      <c r="N1698" s="553"/>
      <c r="O1698" s="553"/>
      <c r="P1698" s="553"/>
      <c r="Q1698" s="553"/>
      <c r="R1698" s="553"/>
      <c r="S1698" s="553"/>
    </row>
    <row r="1699" spans="14:19" ht="27.95" customHeight="1">
      <c r="N1699" s="553"/>
      <c r="O1699" s="553"/>
      <c r="P1699" s="553"/>
      <c r="Q1699" s="553"/>
      <c r="R1699" s="553"/>
      <c r="S1699" s="553"/>
    </row>
    <row r="1700" spans="14:19" ht="27.95" customHeight="1">
      <c r="N1700" s="553"/>
      <c r="O1700" s="553"/>
      <c r="P1700" s="553"/>
      <c r="Q1700" s="553"/>
      <c r="R1700" s="553"/>
      <c r="S1700" s="553"/>
    </row>
    <row r="1701" spans="14:19" ht="27.95" customHeight="1">
      <c r="N1701" s="553"/>
      <c r="O1701" s="553"/>
      <c r="P1701" s="553"/>
      <c r="Q1701" s="553"/>
      <c r="R1701" s="553"/>
      <c r="S1701" s="553"/>
    </row>
    <row r="1702" spans="14:19" ht="27.95" customHeight="1">
      <c r="N1702" s="553"/>
      <c r="O1702" s="553"/>
      <c r="P1702" s="553"/>
      <c r="Q1702" s="553"/>
      <c r="R1702" s="553"/>
      <c r="S1702" s="553"/>
    </row>
    <row r="1703" spans="14:19" ht="27.95" customHeight="1">
      <c r="N1703" s="553"/>
      <c r="O1703" s="553"/>
      <c r="P1703" s="553"/>
      <c r="Q1703" s="553"/>
      <c r="R1703" s="553"/>
      <c r="S1703" s="553"/>
    </row>
    <row r="1704" spans="14:19" ht="27.95" customHeight="1">
      <c r="N1704" s="553"/>
      <c r="O1704" s="553"/>
      <c r="P1704" s="553"/>
      <c r="Q1704" s="553"/>
      <c r="R1704" s="553"/>
      <c r="S1704" s="553"/>
    </row>
    <row r="1705" spans="14:19" ht="27.95" customHeight="1">
      <c r="N1705" s="553"/>
      <c r="O1705" s="553"/>
      <c r="P1705" s="553"/>
      <c r="Q1705" s="553"/>
      <c r="R1705" s="553"/>
      <c r="S1705" s="553"/>
    </row>
    <row r="1706" spans="14:19" ht="27.95" customHeight="1">
      <c r="N1706" s="553"/>
      <c r="O1706" s="553"/>
      <c r="P1706" s="553"/>
      <c r="Q1706" s="553"/>
      <c r="R1706" s="553"/>
      <c r="S1706" s="553"/>
    </row>
    <row r="1707" spans="14:19" ht="27.95" customHeight="1">
      <c r="N1707" s="553"/>
      <c r="O1707" s="553"/>
      <c r="P1707" s="553"/>
      <c r="Q1707" s="553"/>
      <c r="R1707" s="553"/>
      <c r="S1707" s="553"/>
    </row>
    <row r="1708" spans="14:19" ht="27.95" customHeight="1">
      <c r="N1708" s="553"/>
      <c r="O1708" s="553"/>
      <c r="P1708" s="553"/>
      <c r="Q1708" s="553"/>
      <c r="R1708" s="553"/>
      <c r="S1708" s="553"/>
    </row>
    <row r="1709" spans="14:19" ht="27.95" customHeight="1">
      <c r="N1709" s="553"/>
      <c r="O1709" s="553"/>
      <c r="P1709" s="553"/>
      <c r="Q1709" s="553"/>
      <c r="R1709" s="553"/>
      <c r="S1709" s="553"/>
    </row>
    <row r="1710" spans="14:19" ht="27.95" customHeight="1">
      <c r="N1710" s="553"/>
      <c r="O1710" s="553"/>
      <c r="P1710" s="553"/>
      <c r="Q1710" s="553"/>
      <c r="R1710" s="553"/>
      <c r="S1710" s="553"/>
    </row>
    <row r="1711" spans="14:19" ht="27.95" customHeight="1">
      <c r="N1711" s="553"/>
      <c r="O1711" s="553"/>
      <c r="P1711" s="553"/>
      <c r="Q1711" s="553"/>
      <c r="R1711" s="553"/>
      <c r="S1711" s="553"/>
    </row>
    <row r="1712" spans="14:19" ht="27.95" customHeight="1">
      <c r="N1712" s="553"/>
      <c r="O1712" s="553"/>
      <c r="P1712" s="553"/>
      <c r="Q1712" s="553"/>
      <c r="R1712" s="553"/>
      <c r="S1712" s="553"/>
    </row>
    <row r="1713" spans="14:19" ht="27.95" customHeight="1">
      <c r="N1713" s="553"/>
      <c r="O1713" s="553"/>
      <c r="P1713" s="553"/>
      <c r="Q1713" s="553"/>
      <c r="R1713" s="553"/>
      <c r="S1713" s="553"/>
    </row>
    <row r="1714" spans="14:19" ht="27.95" customHeight="1">
      <c r="N1714" s="553"/>
      <c r="O1714" s="553"/>
      <c r="P1714" s="553"/>
      <c r="Q1714" s="553"/>
      <c r="R1714" s="553"/>
      <c r="S1714" s="553"/>
    </row>
    <row r="1715" spans="14:19" ht="27.95" customHeight="1">
      <c r="N1715" s="553"/>
      <c r="O1715" s="553"/>
      <c r="P1715" s="553"/>
      <c r="Q1715" s="553"/>
      <c r="R1715" s="553"/>
      <c r="S1715" s="553"/>
    </row>
    <row r="1716" spans="14:19" ht="27.95" customHeight="1">
      <c r="N1716" s="553"/>
      <c r="O1716" s="553"/>
      <c r="P1716" s="553"/>
      <c r="Q1716" s="553"/>
      <c r="R1716" s="553"/>
      <c r="S1716" s="553"/>
    </row>
    <row r="1717" spans="14:19" ht="27.95" customHeight="1">
      <c r="N1717" s="553"/>
      <c r="O1717" s="553"/>
      <c r="P1717" s="553"/>
      <c r="Q1717" s="553"/>
      <c r="R1717" s="553"/>
      <c r="S1717" s="553"/>
    </row>
    <row r="1718" spans="14:19" ht="27.95" customHeight="1">
      <c r="N1718" s="553"/>
      <c r="O1718" s="553"/>
      <c r="P1718" s="553"/>
      <c r="Q1718" s="553"/>
      <c r="R1718" s="553"/>
      <c r="S1718" s="553"/>
    </row>
    <row r="1719" spans="14:19" ht="27.95" customHeight="1">
      <c r="N1719" s="553"/>
      <c r="O1719" s="553"/>
      <c r="P1719" s="553"/>
      <c r="Q1719" s="553"/>
      <c r="R1719" s="553"/>
      <c r="S1719" s="553"/>
    </row>
    <row r="1720" spans="14:19" ht="27.95" customHeight="1">
      <c r="N1720" s="553"/>
      <c r="O1720" s="553"/>
      <c r="P1720" s="553"/>
      <c r="Q1720" s="553"/>
      <c r="R1720" s="553"/>
      <c r="S1720" s="553"/>
    </row>
    <row r="1721" spans="14:19" ht="27.95" customHeight="1">
      <c r="N1721" s="553"/>
      <c r="O1721" s="553"/>
      <c r="P1721" s="553"/>
      <c r="Q1721" s="553"/>
      <c r="R1721" s="553"/>
      <c r="S1721" s="553"/>
    </row>
    <row r="1722" spans="14:19" ht="27.95" customHeight="1">
      <c r="N1722" s="553"/>
      <c r="O1722" s="553"/>
      <c r="P1722" s="553"/>
      <c r="Q1722" s="553"/>
      <c r="R1722" s="553"/>
      <c r="S1722" s="553"/>
    </row>
    <row r="1723" spans="14:19" ht="27.95" customHeight="1">
      <c r="N1723" s="553"/>
      <c r="O1723" s="553"/>
      <c r="P1723" s="553"/>
      <c r="Q1723" s="553"/>
      <c r="R1723" s="553"/>
      <c r="S1723" s="553"/>
    </row>
    <row r="1724" spans="14:19" ht="27.95" customHeight="1">
      <c r="N1724" s="553"/>
      <c r="O1724" s="553"/>
      <c r="P1724" s="553"/>
      <c r="Q1724" s="553"/>
      <c r="R1724" s="553"/>
      <c r="S1724" s="553"/>
    </row>
    <row r="1725" spans="14:19" ht="27.95" customHeight="1">
      <c r="N1725" s="553"/>
      <c r="O1725" s="553"/>
      <c r="P1725" s="553"/>
      <c r="Q1725" s="553"/>
      <c r="R1725" s="553"/>
      <c r="S1725" s="553"/>
    </row>
    <row r="1726" spans="14:19" ht="27.95" customHeight="1">
      <c r="N1726" s="553"/>
      <c r="O1726" s="553"/>
      <c r="P1726" s="553"/>
      <c r="Q1726" s="553"/>
      <c r="R1726" s="553"/>
      <c r="S1726" s="553"/>
    </row>
    <row r="1727" spans="14:19" ht="27.95" customHeight="1">
      <c r="N1727" s="553"/>
      <c r="O1727" s="553"/>
      <c r="P1727" s="553"/>
      <c r="Q1727" s="553"/>
      <c r="R1727" s="553"/>
      <c r="S1727" s="553"/>
    </row>
    <row r="1728" spans="14:19" ht="27.95" customHeight="1">
      <c r="N1728" s="553"/>
      <c r="O1728" s="553"/>
      <c r="P1728" s="553"/>
      <c r="Q1728" s="553"/>
      <c r="R1728" s="553"/>
      <c r="S1728" s="553"/>
    </row>
    <row r="1729" spans="14:19" ht="27.95" customHeight="1">
      <c r="N1729" s="553"/>
      <c r="O1729" s="553"/>
      <c r="P1729" s="553"/>
      <c r="Q1729" s="553"/>
      <c r="R1729" s="553"/>
      <c r="S1729" s="553"/>
    </row>
    <row r="1730" spans="14:19" ht="27.95" customHeight="1">
      <c r="N1730" s="553"/>
      <c r="O1730" s="553"/>
      <c r="P1730" s="553"/>
      <c r="Q1730" s="553"/>
      <c r="R1730" s="553"/>
      <c r="S1730" s="553"/>
    </row>
    <row r="1731" spans="14:19" ht="27.95" customHeight="1">
      <c r="N1731" s="553"/>
      <c r="O1731" s="553"/>
      <c r="P1731" s="553"/>
      <c r="Q1731" s="553"/>
      <c r="R1731" s="553"/>
      <c r="S1731" s="553"/>
    </row>
    <row r="1732" spans="14:19" ht="27.95" customHeight="1">
      <c r="N1732" s="553"/>
      <c r="O1732" s="553"/>
      <c r="P1732" s="553"/>
      <c r="Q1732" s="553"/>
      <c r="R1732" s="553"/>
      <c r="S1732" s="553"/>
    </row>
    <row r="1733" spans="14:19" ht="27.95" customHeight="1">
      <c r="N1733" s="553"/>
      <c r="O1733" s="553"/>
      <c r="P1733" s="553"/>
      <c r="Q1733" s="553"/>
      <c r="R1733" s="553"/>
      <c r="S1733" s="553"/>
    </row>
    <row r="1734" spans="14:19" ht="27.95" customHeight="1">
      <c r="N1734" s="553"/>
      <c r="O1734" s="553"/>
      <c r="P1734" s="553"/>
      <c r="Q1734" s="553"/>
      <c r="R1734" s="553"/>
      <c r="S1734" s="553"/>
    </row>
    <row r="1735" spans="14:19" ht="27.95" customHeight="1">
      <c r="N1735" s="553"/>
      <c r="O1735" s="553"/>
      <c r="P1735" s="553"/>
      <c r="Q1735" s="553"/>
      <c r="R1735" s="553"/>
      <c r="S1735" s="553"/>
    </row>
    <row r="1736" spans="14:19" ht="27.95" customHeight="1">
      <c r="N1736" s="553"/>
      <c r="O1736" s="553"/>
      <c r="P1736" s="553"/>
      <c r="Q1736" s="553"/>
      <c r="R1736" s="553"/>
      <c r="S1736" s="553"/>
    </row>
    <row r="1737" spans="14:19" ht="27.95" customHeight="1">
      <c r="N1737" s="553"/>
      <c r="O1737" s="553"/>
      <c r="P1737" s="553"/>
      <c r="Q1737" s="553"/>
      <c r="R1737" s="553"/>
      <c r="S1737" s="553"/>
    </row>
    <row r="1738" spans="14:19" ht="27.95" customHeight="1">
      <c r="N1738" s="553"/>
      <c r="O1738" s="553"/>
      <c r="P1738" s="553"/>
      <c r="Q1738" s="553"/>
      <c r="R1738" s="553"/>
      <c r="S1738" s="553"/>
    </row>
    <row r="1739" spans="14:19" ht="27.95" customHeight="1">
      <c r="N1739" s="553"/>
      <c r="O1739" s="553"/>
      <c r="P1739" s="553"/>
      <c r="Q1739" s="553"/>
      <c r="R1739" s="553"/>
      <c r="S1739" s="553"/>
    </row>
    <row r="1740" spans="14:19" ht="27.95" customHeight="1">
      <c r="N1740" s="553"/>
      <c r="O1740" s="553"/>
      <c r="P1740" s="553"/>
      <c r="Q1740" s="553"/>
      <c r="R1740" s="553"/>
      <c r="S1740" s="553"/>
    </row>
    <row r="1741" spans="14:19" ht="27.95" customHeight="1">
      <c r="N1741" s="553"/>
      <c r="O1741" s="553"/>
      <c r="P1741" s="553"/>
      <c r="Q1741" s="553"/>
      <c r="R1741" s="553"/>
      <c r="S1741" s="553"/>
    </row>
    <row r="1742" spans="14:19" ht="27.95" customHeight="1">
      <c r="N1742" s="553"/>
      <c r="O1742" s="553"/>
      <c r="P1742" s="553"/>
      <c r="Q1742" s="553"/>
      <c r="R1742" s="553"/>
      <c r="S1742" s="553"/>
    </row>
    <row r="1743" spans="14:19" ht="27.95" customHeight="1">
      <c r="N1743" s="553"/>
      <c r="O1743" s="553"/>
      <c r="P1743" s="553"/>
      <c r="Q1743" s="553"/>
      <c r="R1743" s="553"/>
      <c r="S1743" s="553"/>
    </row>
    <row r="1744" spans="14:19" ht="27.95" customHeight="1">
      <c r="N1744" s="553"/>
      <c r="O1744" s="553"/>
      <c r="P1744" s="553"/>
      <c r="Q1744" s="553"/>
      <c r="R1744" s="553"/>
      <c r="S1744" s="553"/>
    </row>
    <row r="1745" spans="14:19" ht="27.95" customHeight="1">
      <c r="N1745" s="553"/>
      <c r="O1745" s="553"/>
      <c r="P1745" s="553"/>
      <c r="Q1745" s="553"/>
      <c r="R1745" s="553"/>
      <c r="S1745" s="553"/>
    </row>
    <row r="1746" spans="14:19" ht="27.95" customHeight="1">
      <c r="N1746" s="553"/>
      <c r="O1746" s="553"/>
      <c r="P1746" s="553"/>
      <c r="Q1746" s="553"/>
      <c r="R1746" s="553"/>
      <c r="S1746" s="553"/>
    </row>
    <row r="1747" spans="14:19" ht="27.95" customHeight="1">
      <c r="N1747" s="553"/>
      <c r="O1747" s="553"/>
      <c r="P1747" s="553"/>
      <c r="Q1747" s="553"/>
      <c r="R1747" s="553"/>
      <c r="S1747" s="553"/>
    </row>
    <row r="1748" spans="14:19" ht="27.95" customHeight="1">
      <c r="N1748" s="553"/>
      <c r="O1748" s="553"/>
      <c r="P1748" s="553"/>
      <c r="Q1748" s="553"/>
      <c r="R1748" s="553"/>
      <c r="S1748" s="553"/>
    </row>
    <row r="1749" spans="14:19" ht="27.95" customHeight="1">
      <c r="N1749" s="553"/>
      <c r="O1749" s="553"/>
      <c r="P1749" s="553"/>
      <c r="Q1749" s="553"/>
      <c r="R1749" s="553"/>
      <c r="S1749" s="553"/>
    </row>
    <row r="1750" spans="14:19" ht="27.95" customHeight="1">
      <c r="N1750" s="553"/>
      <c r="O1750" s="553"/>
      <c r="P1750" s="553"/>
      <c r="Q1750" s="553"/>
      <c r="R1750" s="553"/>
      <c r="S1750" s="553"/>
    </row>
    <row r="1751" spans="14:19" ht="27.95" customHeight="1">
      <c r="N1751" s="553"/>
      <c r="O1751" s="553"/>
      <c r="P1751" s="553"/>
      <c r="Q1751" s="553"/>
      <c r="R1751" s="553"/>
      <c r="S1751" s="553"/>
    </row>
    <row r="1752" spans="14:19" ht="27.95" customHeight="1">
      <c r="N1752" s="553"/>
      <c r="O1752" s="553"/>
      <c r="P1752" s="553"/>
      <c r="Q1752" s="553"/>
      <c r="R1752" s="553"/>
      <c r="S1752" s="553"/>
    </row>
    <row r="1753" spans="14:19" ht="27.95" customHeight="1">
      <c r="N1753" s="553"/>
      <c r="O1753" s="553"/>
      <c r="P1753" s="553"/>
      <c r="Q1753" s="553"/>
      <c r="R1753" s="553"/>
      <c r="S1753" s="553"/>
    </row>
    <row r="1754" spans="14:19" ht="27.95" customHeight="1">
      <c r="N1754" s="553"/>
      <c r="O1754" s="553"/>
      <c r="P1754" s="553"/>
      <c r="Q1754" s="553"/>
      <c r="R1754" s="553"/>
      <c r="S1754" s="553"/>
    </row>
    <row r="1755" spans="14:19" ht="27.95" customHeight="1">
      <c r="N1755" s="553"/>
      <c r="O1755" s="553"/>
      <c r="P1755" s="553"/>
      <c r="Q1755" s="553"/>
      <c r="R1755" s="553"/>
      <c r="S1755" s="553"/>
    </row>
    <row r="1756" spans="14:19" ht="27.95" customHeight="1">
      <c r="N1756" s="553"/>
      <c r="O1756" s="553"/>
      <c r="P1756" s="553"/>
      <c r="Q1756" s="553"/>
      <c r="R1756" s="553"/>
      <c r="S1756" s="553"/>
    </row>
    <row r="1757" spans="14:19" ht="27.95" customHeight="1">
      <c r="N1757" s="553"/>
      <c r="O1757" s="553"/>
      <c r="P1757" s="553"/>
      <c r="Q1757" s="553"/>
      <c r="R1757" s="553"/>
      <c r="S1757" s="553"/>
    </row>
    <row r="1758" spans="14:19" ht="27.95" customHeight="1">
      <c r="N1758" s="553"/>
      <c r="O1758" s="553"/>
      <c r="P1758" s="553"/>
      <c r="Q1758" s="553"/>
      <c r="R1758" s="553"/>
      <c r="S1758" s="553"/>
    </row>
    <row r="1759" spans="14:19" ht="27.95" customHeight="1">
      <c r="N1759" s="553"/>
      <c r="O1759" s="553"/>
      <c r="P1759" s="553"/>
      <c r="Q1759" s="553"/>
      <c r="R1759" s="553"/>
      <c r="S1759" s="553"/>
    </row>
    <row r="1760" spans="14:19" ht="27.95" customHeight="1">
      <c r="N1760" s="553"/>
      <c r="O1760" s="553"/>
      <c r="P1760" s="553"/>
      <c r="Q1760" s="553"/>
      <c r="R1760" s="553"/>
      <c r="S1760" s="553"/>
    </row>
    <row r="1761" spans="14:19" ht="27.95" customHeight="1">
      <c r="N1761" s="553"/>
      <c r="O1761" s="553"/>
      <c r="P1761" s="553"/>
      <c r="Q1761" s="553"/>
      <c r="R1761" s="553"/>
      <c r="S1761" s="553"/>
    </row>
    <row r="1762" spans="14:19" ht="27.95" customHeight="1">
      <c r="N1762" s="553"/>
      <c r="O1762" s="553"/>
      <c r="P1762" s="553"/>
      <c r="Q1762" s="553"/>
      <c r="R1762" s="553"/>
      <c r="S1762" s="553"/>
    </row>
    <row r="1763" spans="14:19" ht="27.95" customHeight="1">
      <c r="N1763" s="553"/>
      <c r="O1763" s="553"/>
      <c r="P1763" s="553"/>
      <c r="Q1763" s="553"/>
      <c r="R1763" s="553"/>
      <c r="S1763" s="553"/>
    </row>
    <row r="1764" spans="14:19" ht="27.95" customHeight="1">
      <c r="N1764" s="553"/>
      <c r="O1764" s="553"/>
      <c r="P1764" s="553"/>
      <c r="Q1764" s="553"/>
      <c r="R1764" s="553"/>
      <c r="S1764" s="553"/>
    </row>
    <row r="1765" spans="14:19" ht="27.95" customHeight="1">
      <c r="N1765" s="553"/>
      <c r="O1765" s="553"/>
      <c r="P1765" s="553"/>
      <c r="Q1765" s="553"/>
      <c r="R1765" s="553"/>
      <c r="S1765" s="553"/>
    </row>
    <row r="1766" spans="14:19" ht="27.95" customHeight="1">
      <c r="N1766" s="553"/>
      <c r="O1766" s="553"/>
      <c r="P1766" s="553"/>
      <c r="Q1766" s="553"/>
      <c r="R1766" s="553"/>
      <c r="S1766" s="553"/>
    </row>
    <row r="1767" spans="14:19" ht="27.95" customHeight="1">
      <c r="N1767" s="553"/>
      <c r="O1767" s="553"/>
      <c r="P1767" s="553"/>
      <c r="Q1767" s="553"/>
      <c r="R1767" s="553"/>
      <c r="S1767" s="553"/>
    </row>
    <row r="1768" spans="14:19" ht="27.95" customHeight="1">
      <c r="N1768" s="553"/>
      <c r="O1768" s="553"/>
      <c r="P1768" s="553"/>
      <c r="Q1768" s="553"/>
      <c r="R1768" s="553"/>
      <c r="S1768" s="553"/>
    </row>
    <row r="1769" spans="14:19" ht="27.95" customHeight="1">
      <c r="N1769" s="553"/>
      <c r="O1769" s="553"/>
      <c r="P1769" s="553"/>
      <c r="Q1769" s="553"/>
      <c r="R1769" s="553"/>
      <c r="S1769" s="553"/>
    </row>
    <row r="1770" spans="14:19" ht="27.95" customHeight="1">
      <c r="N1770" s="553"/>
      <c r="O1770" s="553"/>
      <c r="P1770" s="553"/>
      <c r="Q1770" s="553"/>
      <c r="R1770" s="553"/>
      <c r="S1770" s="553"/>
    </row>
    <row r="1771" spans="14:19" ht="27.95" customHeight="1">
      <c r="N1771" s="553"/>
      <c r="O1771" s="553"/>
      <c r="P1771" s="553"/>
      <c r="Q1771" s="553"/>
      <c r="R1771" s="553"/>
      <c r="S1771" s="553"/>
    </row>
    <row r="1772" spans="14:19" ht="27.95" customHeight="1">
      <c r="N1772" s="553"/>
      <c r="O1772" s="553"/>
      <c r="P1772" s="553"/>
      <c r="Q1772" s="553"/>
      <c r="R1772" s="553"/>
      <c r="S1772" s="553"/>
    </row>
    <row r="1773" spans="14:19" ht="27.95" customHeight="1">
      <c r="N1773" s="553"/>
      <c r="O1773" s="553"/>
      <c r="P1773" s="553"/>
      <c r="Q1773" s="553"/>
      <c r="R1773" s="553"/>
      <c r="S1773" s="553"/>
    </row>
    <row r="1774" spans="14:19" ht="27.95" customHeight="1">
      <c r="N1774" s="553"/>
      <c r="O1774" s="553"/>
      <c r="P1774" s="553"/>
      <c r="Q1774" s="553"/>
      <c r="R1774" s="553"/>
      <c r="S1774" s="553"/>
    </row>
    <row r="1775" spans="14:19" ht="27.95" customHeight="1">
      <c r="N1775" s="553"/>
      <c r="O1775" s="553"/>
      <c r="P1775" s="553"/>
      <c r="Q1775" s="553"/>
      <c r="R1775" s="553"/>
      <c r="S1775" s="553"/>
    </row>
    <row r="1776" spans="14:19" ht="27.95" customHeight="1">
      <c r="N1776" s="553"/>
      <c r="O1776" s="553"/>
      <c r="P1776" s="553"/>
      <c r="Q1776" s="553"/>
      <c r="R1776" s="553"/>
      <c r="S1776" s="553"/>
    </row>
    <row r="1777" spans="14:19" ht="27.95" customHeight="1">
      <c r="N1777" s="553"/>
      <c r="O1777" s="553"/>
      <c r="P1777" s="553"/>
      <c r="Q1777" s="553"/>
      <c r="R1777" s="553"/>
      <c r="S1777" s="553"/>
    </row>
    <row r="1778" spans="14:19" ht="27.95" customHeight="1">
      <c r="N1778" s="553"/>
      <c r="O1778" s="553"/>
      <c r="P1778" s="553"/>
      <c r="Q1778" s="553"/>
      <c r="R1778" s="553"/>
      <c r="S1778" s="553"/>
    </row>
    <row r="1779" spans="14:19" ht="27.95" customHeight="1">
      <c r="N1779" s="553"/>
      <c r="O1779" s="553"/>
      <c r="P1779" s="553"/>
      <c r="Q1779" s="553"/>
      <c r="R1779" s="553"/>
      <c r="S1779" s="553"/>
    </row>
    <row r="1780" spans="14:19" ht="27.95" customHeight="1">
      <c r="N1780" s="553"/>
      <c r="O1780" s="553"/>
      <c r="P1780" s="553"/>
      <c r="Q1780" s="553"/>
      <c r="R1780" s="553"/>
      <c r="S1780" s="553"/>
    </row>
    <row r="1781" spans="14:19" ht="27.95" customHeight="1">
      <c r="N1781" s="553"/>
      <c r="O1781" s="553"/>
      <c r="P1781" s="553"/>
      <c r="Q1781" s="553"/>
      <c r="R1781" s="553"/>
      <c r="S1781" s="553"/>
    </row>
    <row r="1782" spans="14:19" ht="27.95" customHeight="1">
      <c r="N1782" s="553"/>
      <c r="O1782" s="553"/>
      <c r="P1782" s="553"/>
      <c r="Q1782" s="553"/>
      <c r="R1782" s="553"/>
      <c r="S1782" s="553"/>
    </row>
    <row r="1783" spans="14:19" ht="27.95" customHeight="1">
      <c r="N1783" s="553"/>
      <c r="O1783" s="553"/>
      <c r="P1783" s="553"/>
      <c r="Q1783" s="553"/>
      <c r="R1783" s="553"/>
      <c r="S1783" s="553"/>
    </row>
    <row r="1784" spans="14:19" ht="27.95" customHeight="1">
      <c r="N1784" s="553"/>
      <c r="O1784" s="553"/>
      <c r="P1784" s="553"/>
      <c r="Q1784" s="553"/>
      <c r="R1784" s="553"/>
      <c r="S1784" s="553"/>
    </row>
    <row r="1785" spans="14:19" ht="27.95" customHeight="1">
      <c r="N1785" s="553"/>
      <c r="O1785" s="553"/>
      <c r="P1785" s="553"/>
      <c r="Q1785" s="553"/>
      <c r="R1785" s="553"/>
      <c r="S1785" s="553"/>
    </row>
    <row r="1786" spans="14:19" ht="27.95" customHeight="1">
      <c r="N1786" s="553"/>
      <c r="O1786" s="553"/>
      <c r="P1786" s="553"/>
      <c r="Q1786" s="553"/>
      <c r="R1786" s="553"/>
      <c r="S1786" s="553"/>
    </row>
    <row r="1787" spans="14:19" ht="27.95" customHeight="1">
      <c r="N1787" s="553"/>
      <c r="O1787" s="553"/>
      <c r="P1787" s="553"/>
      <c r="Q1787" s="553"/>
      <c r="R1787" s="553"/>
      <c r="S1787" s="553"/>
    </row>
    <row r="1788" spans="14:19" ht="27.95" customHeight="1">
      <c r="N1788" s="553"/>
      <c r="O1788" s="553"/>
      <c r="P1788" s="553"/>
      <c r="Q1788" s="553"/>
      <c r="R1788" s="553"/>
      <c r="S1788" s="553"/>
    </row>
    <row r="1789" spans="14:19" ht="27.95" customHeight="1">
      <c r="N1789" s="553"/>
      <c r="O1789" s="553"/>
      <c r="P1789" s="553"/>
      <c r="Q1789" s="553"/>
      <c r="R1789" s="553"/>
      <c r="S1789" s="553"/>
    </row>
    <row r="1790" spans="14:19" ht="27.95" customHeight="1">
      <c r="N1790" s="553"/>
      <c r="O1790" s="553"/>
      <c r="P1790" s="553"/>
      <c r="Q1790" s="553"/>
      <c r="R1790" s="553"/>
      <c r="S1790" s="553"/>
    </row>
    <row r="1791" spans="14:19" ht="27.95" customHeight="1">
      <c r="N1791" s="553"/>
      <c r="O1791" s="553"/>
      <c r="P1791" s="553"/>
      <c r="Q1791" s="553"/>
      <c r="R1791" s="553"/>
      <c r="S1791" s="553"/>
    </row>
    <row r="1792" spans="14:19" ht="27.95" customHeight="1">
      <c r="N1792" s="553"/>
      <c r="O1792" s="553"/>
      <c r="P1792" s="553"/>
      <c r="Q1792" s="553"/>
      <c r="R1792" s="553"/>
      <c r="S1792" s="553"/>
    </row>
    <row r="1793" spans="14:19" ht="27.95" customHeight="1">
      <c r="N1793" s="553"/>
      <c r="O1793" s="553"/>
      <c r="P1793" s="553"/>
      <c r="Q1793" s="553"/>
      <c r="R1793" s="553"/>
      <c r="S1793" s="553"/>
    </row>
    <row r="1794" spans="14:19" ht="27.95" customHeight="1">
      <c r="N1794" s="553"/>
      <c r="O1794" s="553"/>
      <c r="P1794" s="553"/>
      <c r="Q1794" s="553"/>
      <c r="R1794" s="553"/>
      <c r="S1794" s="553"/>
    </row>
    <row r="1795" spans="14:19" ht="27.95" customHeight="1">
      <c r="N1795" s="553"/>
      <c r="O1795" s="553"/>
      <c r="P1795" s="553"/>
      <c r="Q1795" s="553"/>
      <c r="R1795" s="553"/>
      <c r="S1795" s="553"/>
    </row>
    <row r="1796" spans="14:19" ht="27.95" customHeight="1">
      <c r="N1796" s="553"/>
      <c r="O1796" s="553"/>
      <c r="P1796" s="553"/>
      <c r="Q1796" s="553"/>
      <c r="R1796" s="553"/>
      <c r="S1796" s="553"/>
    </row>
    <row r="1797" spans="14:19" ht="27.95" customHeight="1">
      <c r="N1797" s="553"/>
      <c r="O1797" s="553"/>
      <c r="P1797" s="553"/>
      <c r="Q1797" s="553"/>
      <c r="R1797" s="553"/>
      <c r="S1797" s="553"/>
    </row>
    <row r="1798" spans="14:19" ht="27.95" customHeight="1">
      <c r="N1798" s="553"/>
      <c r="O1798" s="553"/>
      <c r="P1798" s="553"/>
      <c r="Q1798" s="553"/>
      <c r="R1798" s="553"/>
      <c r="S1798" s="553"/>
    </row>
    <row r="1799" spans="14:19" ht="27.95" customHeight="1">
      <c r="N1799" s="553"/>
      <c r="O1799" s="553"/>
      <c r="P1799" s="553"/>
      <c r="Q1799" s="553"/>
      <c r="R1799" s="553"/>
      <c r="S1799" s="553"/>
    </row>
    <row r="1800" spans="14:19" ht="27.95" customHeight="1">
      <c r="N1800" s="553"/>
      <c r="O1800" s="553"/>
      <c r="P1800" s="553"/>
      <c r="Q1800" s="553"/>
      <c r="R1800" s="553"/>
      <c r="S1800" s="553"/>
    </row>
    <row r="1801" spans="14:19" ht="27.95" customHeight="1">
      <c r="N1801" s="553"/>
      <c r="O1801" s="553"/>
      <c r="P1801" s="553"/>
      <c r="Q1801" s="553"/>
      <c r="R1801" s="553"/>
      <c r="S1801" s="553"/>
    </row>
    <row r="1802" spans="14:19" ht="27.95" customHeight="1">
      <c r="N1802" s="553"/>
      <c r="O1802" s="553"/>
      <c r="P1802" s="553"/>
      <c r="Q1802" s="553"/>
      <c r="R1802" s="553"/>
      <c r="S1802" s="553"/>
    </row>
    <row r="1803" spans="14:19" ht="27.95" customHeight="1">
      <c r="N1803" s="553"/>
      <c r="O1803" s="553"/>
      <c r="P1803" s="553"/>
      <c r="Q1803" s="553"/>
      <c r="R1803" s="553"/>
      <c r="S1803" s="553"/>
    </row>
    <row r="1804" spans="14:19" ht="27.95" customHeight="1">
      <c r="N1804" s="553"/>
      <c r="O1804" s="553"/>
      <c r="P1804" s="553"/>
      <c r="Q1804" s="553"/>
      <c r="R1804" s="553"/>
      <c r="S1804" s="553"/>
    </row>
    <row r="1805" spans="14:19" ht="27.95" customHeight="1">
      <c r="N1805" s="553"/>
      <c r="O1805" s="553"/>
      <c r="P1805" s="553"/>
      <c r="Q1805" s="553"/>
      <c r="R1805" s="553"/>
      <c r="S1805" s="553"/>
    </row>
    <row r="1806" spans="14:19" ht="27.95" customHeight="1">
      <c r="N1806" s="553"/>
      <c r="O1806" s="553"/>
      <c r="P1806" s="553"/>
      <c r="Q1806" s="553"/>
      <c r="R1806" s="553"/>
      <c r="S1806" s="553"/>
    </row>
    <row r="1807" spans="14:19" ht="27.95" customHeight="1">
      <c r="N1807" s="553"/>
      <c r="O1807" s="553"/>
      <c r="P1807" s="553"/>
      <c r="Q1807" s="553"/>
      <c r="R1807" s="553"/>
      <c r="S1807" s="553"/>
    </row>
    <row r="1808" spans="14:19" ht="27.95" customHeight="1">
      <c r="N1808" s="553"/>
      <c r="O1808" s="553"/>
      <c r="P1808" s="553"/>
      <c r="Q1808" s="553"/>
      <c r="R1808" s="553"/>
      <c r="S1808" s="553"/>
    </row>
    <row r="1809" spans="14:19" ht="27.95" customHeight="1">
      <c r="N1809" s="553"/>
      <c r="O1809" s="553"/>
      <c r="P1809" s="553"/>
      <c r="Q1809" s="553"/>
      <c r="R1809" s="553"/>
      <c r="S1809" s="553"/>
    </row>
    <row r="1810" spans="14:19" ht="27.95" customHeight="1">
      <c r="N1810" s="553"/>
      <c r="O1810" s="553"/>
      <c r="P1810" s="553"/>
      <c r="Q1810" s="553"/>
      <c r="R1810" s="553"/>
      <c r="S1810" s="553"/>
    </row>
    <row r="1811" spans="14:19" ht="27.95" customHeight="1">
      <c r="N1811" s="553"/>
      <c r="O1811" s="553"/>
      <c r="P1811" s="553"/>
      <c r="Q1811" s="553"/>
      <c r="R1811" s="553"/>
      <c r="S1811" s="553"/>
    </row>
    <row r="1812" spans="14:19" ht="27.95" customHeight="1">
      <c r="N1812" s="553"/>
      <c r="O1812" s="553"/>
      <c r="P1812" s="553"/>
      <c r="Q1812" s="553"/>
      <c r="R1812" s="553"/>
      <c r="S1812" s="553"/>
    </row>
    <row r="1813" spans="14:19" ht="27.95" customHeight="1">
      <c r="N1813" s="553"/>
      <c r="O1813" s="553"/>
      <c r="P1813" s="553"/>
      <c r="Q1813" s="553"/>
      <c r="R1813" s="553"/>
      <c r="S1813" s="553"/>
    </row>
    <row r="1814" spans="14:19" ht="27.95" customHeight="1">
      <c r="N1814" s="553"/>
      <c r="O1814" s="553"/>
      <c r="P1814" s="553"/>
      <c r="Q1814" s="553"/>
      <c r="R1814" s="553"/>
      <c r="S1814" s="553"/>
    </row>
    <row r="1815" spans="14:19" ht="27.95" customHeight="1">
      <c r="N1815" s="553"/>
      <c r="O1815" s="553"/>
      <c r="P1815" s="553"/>
      <c r="Q1815" s="553"/>
      <c r="R1815" s="553"/>
      <c r="S1815" s="553"/>
    </row>
    <row r="1816" spans="14:19" ht="27.95" customHeight="1">
      <c r="N1816" s="553"/>
      <c r="O1816" s="553"/>
      <c r="P1816" s="553"/>
      <c r="Q1816" s="553"/>
      <c r="R1816" s="553"/>
      <c r="S1816" s="553"/>
    </row>
    <row r="1817" spans="14:19" ht="27.95" customHeight="1">
      <c r="N1817" s="553"/>
      <c r="O1817" s="553"/>
      <c r="P1817" s="553"/>
      <c r="Q1817" s="553"/>
      <c r="R1817" s="553"/>
      <c r="S1817" s="553"/>
    </row>
    <row r="1818" spans="14:19" ht="27.95" customHeight="1">
      <c r="N1818" s="553"/>
      <c r="O1818" s="553"/>
      <c r="P1818" s="553"/>
      <c r="Q1818" s="553"/>
      <c r="R1818" s="553"/>
      <c r="S1818" s="553"/>
    </row>
    <row r="1819" spans="14:19" ht="27.95" customHeight="1">
      <c r="N1819" s="553"/>
      <c r="O1819" s="553"/>
      <c r="P1819" s="553"/>
      <c r="Q1819" s="553"/>
      <c r="R1819" s="553"/>
      <c r="S1819" s="553"/>
    </row>
    <row r="1820" spans="14:19" ht="27.95" customHeight="1">
      <c r="N1820" s="553"/>
      <c r="O1820" s="553"/>
      <c r="P1820" s="553"/>
      <c r="Q1820" s="553"/>
      <c r="R1820" s="553"/>
      <c r="S1820" s="553"/>
    </row>
    <row r="1821" spans="14:19" ht="27.95" customHeight="1">
      <c r="N1821" s="553"/>
      <c r="O1821" s="553"/>
      <c r="P1821" s="553"/>
      <c r="Q1821" s="553"/>
      <c r="R1821" s="553"/>
      <c r="S1821" s="553"/>
    </row>
    <row r="1822" spans="14:19" ht="27.95" customHeight="1">
      <c r="N1822" s="553"/>
      <c r="O1822" s="553"/>
      <c r="P1822" s="553"/>
      <c r="Q1822" s="553"/>
      <c r="R1822" s="553"/>
      <c r="S1822" s="553"/>
    </row>
    <row r="1823" spans="14:19" ht="27.95" customHeight="1">
      <c r="N1823" s="553"/>
      <c r="O1823" s="553"/>
      <c r="P1823" s="553"/>
      <c r="Q1823" s="553"/>
      <c r="R1823" s="553"/>
      <c r="S1823" s="553"/>
    </row>
    <row r="1824" spans="14:19" ht="27.95" customHeight="1">
      <c r="N1824" s="553"/>
      <c r="O1824" s="553"/>
      <c r="P1824" s="553"/>
      <c r="Q1824" s="553"/>
      <c r="R1824" s="553"/>
      <c r="S1824" s="553"/>
    </row>
    <row r="1825" spans="14:19" ht="27.95" customHeight="1">
      <c r="N1825" s="553"/>
      <c r="O1825" s="553"/>
      <c r="P1825" s="553"/>
      <c r="Q1825" s="553"/>
      <c r="R1825" s="553"/>
      <c r="S1825" s="553"/>
    </row>
    <row r="1826" spans="14:19" ht="27.95" customHeight="1">
      <c r="N1826" s="553"/>
      <c r="O1826" s="553"/>
      <c r="P1826" s="553"/>
      <c r="Q1826" s="553"/>
      <c r="R1826" s="553"/>
      <c r="S1826" s="553"/>
    </row>
    <row r="1827" spans="14:19" ht="27.95" customHeight="1">
      <c r="N1827" s="553"/>
      <c r="O1827" s="553"/>
      <c r="P1827" s="553"/>
      <c r="Q1827" s="553"/>
      <c r="R1827" s="553"/>
      <c r="S1827" s="553"/>
    </row>
    <row r="1828" spans="14:19" ht="27.95" customHeight="1">
      <c r="N1828" s="553"/>
      <c r="O1828" s="553"/>
      <c r="P1828" s="553"/>
      <c r="Q1828" s="553"/>
      <c r="R1828" s="553"/>
      <c r="S1828" s="553"/>
    </row>
    <row r="1829" spans="14:19" ht="27.95" customHeight="1">
      <c r="N1829" s="553"/>
      <c r="O1829" s="553"/>
      <c r="P1829" s="553"/>
      <c r="Q1829" s="553"/>
      <c r="R1829" s="553"/>
      <c r="S1829" s="553"/>
    </row>
    <row r="1830" spans="14:19" ht="27.95" customHeight="1">
      <c r="N1830" s="553"/>
      <c r="O1830" s="553"/>
      <c r="P1830" s="553"/>
      <c r="Q1830" s="553"/>
      <c r="R1830" s="553"/>
      <c r="S1830" s="553"/>
    </row>
    <row r="1831" spans="14:19" ht="27.95" customHeight="1">
      <c r="N1831" s="553"/>
      <c r="O1831" s="553"/>
      <c r="P1831" s="553"/>
      <c r="Q1831" s="553"/>
      <c r="R1831" s="553"/>
      <c r="S1831" s="553"/>
    </row>
    <row r="1832" spans="14:19" ht="27.95" customHeight="1">
      <c r="N1832" s="553"/>
      <c r="O1832" s="553"/>
      <c r="P1832" s="553"/>
      <c r="Q1832" s="553"/>
      <c r="R1832" s="553"/>
      <c r="S1832" s="553"/>
    </row>
    <row r="1833" spans="14:19" ht="27.95" customHeight="1">
      <c r="N1833" s="553"/>
      <c r="O1833" s="553"/>
      <c r="P1833" s="553"/>
      <c r="Q1833" s="553"/>
      <c r="R1833" s="553"/>
      <c r="S1833" s="553"/>
    </row>
    <row r="1834" spans="14:19" ht="27.95" customHeight="1">
      <c r="N1834" s="553"/>
      <c r="O1834" s="553"/>
      <c r="P1834" s="553"/>
      <c r="Q1834" s="553"/>
      <c r="R1834" s="553"/>
      <c r="S1834" s="553"/>
    </row>
    <row r="1835" spans="14:19" ht="27.95" customHeight="1">
      <c r="N1835" s="553"/>
      <c r="O1835" s="553"/>
      <c r="P1835" s="553"/>
      <c r="Q1835" s="553"/>
      <c r="R1835" s="553"/>
      <c r="S1835" s="553"/>
    </row>
    <row r="1836" spans="14:19" ht="27.95" customHeight="1">
      <c r="N1836" s="553"/>
      <c r="O1836" s="553"/>
      <c r="P1836" s="553"/>
      <c r="Q1836" s="553"/>
      <c r="R1836" s="553"/>
      <c r="S1836" s="553"/>
    </row>
    <row r="1837" spans="14:19" ht="27.95" customHeight="1">
      <c r="N1837" s="553"/>
      <c r="O1837" s="553"/>
      <c r="P1837" s="553"/>
      <c r="Q1837" s="553"/>
      <c r="R1837" s="553"/>
      <c r="S1837" s="553"/>
    </row>
    <row r="1838" spans="14:19" ht="27.95" customHeight="1">
      <c r="N1838" s="553"/>
      <c r="O1838" s="553"/>
      <c r="P1838" s="553"/>
      <c r="Q1838" s="553"/>
      <c r="R1838" s="553"/>
      <c r="S1838" s="553"/>
    </row>
    <row r="1839" spans="14:19" ht="27.95" customHeight="1">
      <c r="N1839" s="553"/>
      <c r="O1839" s="553"/>
      <c r="P1839" s="553"/>
      <c r="Q1839" s="553"/>
      <c r="R1839" s="553"/>
      <c r="S1839" s="553"/>
    </row>
    <row r="1840" spans="14:19" ht="27.95" customHeight="1">
      <c r="N1840" s="553"/>
      <c r="O1840" s="553"/>
      <c r="P1840" s="553"/>
      <c r="Q1840" s="553"/>
      <c r="R1840" s="553"/>
      <c r="S1840" s="553"/>
    </row>
    <row r="1841" spans="14:19" ht="27.95" customHeight="1">
      <c r="N1841" s="553"/>
      <c r="O1841" s="553"/>
      <c r="P1841" s="553"/>
      <c r="Q1841" s="553"/>
      <c r="R1841" s="553"/>
      <c r="S1841" s="553"/>
    </row>
    <row r="1842" spans="14:19" ht="27.95" customHeight="1">
      <c r="N1842" s="553"/>
      <c r="O1842" s="553"/>
      <c r="P1842" s="553"/>
      <c r="Q1842" s="553"/>
      <c r="R1842" s="553"/>
      <c r="S1842" s="553"/>
    </row>
    <row r="1843" spans="14:19" ht="27.95" customHeight="1">
      <c r="N1843" s="553"/>
      <c r="O1843" s="553"/>
      <c r="P1843" s="553"/>
      <c r="Q1843" s="553"/>
      <c r="R1843" s="553"/>
      <c r="S1843" s="553"/>
    </row>
    <row r="1844" spans="14:19" ht="27.95" customHeight="1">
      <c r="N1844" s="553"/>
      <c r="O1844" s="553"/>
      <c r="P1844" s="553"/>
      <c r="Q1844" s="553"/>
      <c r="R1844" s="553"/>
      <c r="S1844" s="553"/>
    </row>
    <row r="1845" spans="14:19" ht="27.95" customHeight="1">
      <c r="N1845" s="553"/>
      <c r="O1845" s="553"/>
      <c r="P1845" s="553"/>
      <c r="Q1845" s="553"/>
      <c r="R1845" s="553"/>
      <c r="S1845" s="553"/>
    </row>
    <row r="1846" spans="14:19" ht="27.95" customHeight="1">
      <c r="N1846" s="553"/>
      <c r="O1846" s="553"/>
      <c r="P1846" s="553"/>
      <c r="Q1846" s="553"/>
      <c r="R1846" s="553"/>
      <c r="S1846" s="553"/>
    </row>
    <row r="1847" spans="14:19" ht="27.95" customHeight="1">
      <c r="N1847" s="553"/>
      <c r="O1847" s="553"/>
      <c r="P1847" s="553"/>
      <c r="Q1847" s="553"/>
      <c r="R1847" s="553"/>
      <c r="S1847" s="553"/>
    </row>
    <row r="1848" spans="14:19" ht="27.95" customHeight="1">
      <c r="N1848" s="553"/>
      <c r="O1848" s="553"/>
      <c r="P1848" s="553"/>
      <c r="Q1848" s="553"/>
      <c r="R1848" s="553"/>
      <c r="S1848" s="553"/>
    </row>
    <row r="1849" spans="14:19" ht="27.95" customHeight="1">
      <c r="N1849" s="553"/>
      <c r="O1849" s="553"/>
      <c r="P1849" s="553"/>
      <c r="Q1849" s="553"/>
      <c r="R1849" s="553"/>
      <c r="S1849" s="553"/>
    </row>
    <row r="1850" spans="14:19" ht="27.95" customHeight="1">
      <c r="N1850" s="553"/>
      <c r="O1850" s="553"/>
      <c r="P1850" s="553"/>
      <c r="Q1850" s="553"/>
      <c r="R1850" s="553"/>
      <c r="S1850" s="553"/>
    </row>
    <row r="1851" spans="14:19" ht="27.95" customHeight="1">
      <c r="N1851" s="553"/>
      <c r="O1851" s="553"/>
      <c r="P1851" s="553"/>
      <c r="Q1851" s="553"/>
      <c r="R1851" s="553"/>
      <c r="S1851" s="553"/>
    </row>
    <row r="1852" spans="14:19" ht="27.95" customHeight="1">
      <c r="N1852" s="553"/>
      <c r="O1852" s="553"/>
      <c r="P1852" s="553"/>
      <c r="Q1852" s="553"/>
      <c r="R1852" s="553"/>
      <c r="S1852" s="553"/>
    </row>
    <row r="1853" spans="14:19" ht="27.95" customHeight="1">
      <c r="N1853" s="553"/>
      <c r="O1853" s="553"/>
      <c r="P1853" s="553"/>
      <c r="Q1853" s="553"/>
      <c r="R1853" s="553"/>
      <c r="S1853" s="553"/>
    </row>
    <row r="1854" spans="14:19" ht="27.95" customHeight="1">
      <c r="N1854" s="553"/>
      <c r="O1854" s="553"/>
      <c r="P1854" s="553"/>
      <c r="Q1854" s="553"/>
      <c r="R1854" s="553"/>
      <c r="S1854" s="553"/>
    </row>
    <row r="1855" spans="14:19" ht="27.95" customHeight="1">
      <c r="N1855" s="553"/>
      <c r="O1855" s="553"/>
      <c r="P1855" s="553"/>
      <c r="Q1855" s="553"/>
      <c r="R1855" s="553"/>
      <c r="S1855" s="553"/>
    </row>
    <row r="1856" spans="14:19" ht="27.95" customHeight="1">
      <c r="N1856" s="553"/>
      <c r="O1856" s="553"/>
      <c r="P1856" s="553"/>
      <c r="Q1856" s="553"/>
      <c r="R1856" s="553"/>
      <c r="S1856" s="553"/>
    </row>
    <row r="1857" spans="14:19" ht="27.95" customHeight="1">
      <c r="N1857" s="553"/>
      <c r="O1857" s="553"/>
      <c r="P1857" s="553"/>
      <c r="Q1857" s="553"/>
      <c r="R1857" s="553"/>
      <c r="S1857" s="553"/>
    </row>
    <row r="1858" spans="14:19" ht="27.95" customHeight="1">
      <c r="N1858" s="553"/>
      <c r="O1858" s="553"/>
      <c r="P1858" s="553"/>
      <c r="Q1858" s="553"/>
      <c r="R1858" s="553"/>
      <c r="S1858" s="553"/>
    </row>
    <row r="1859" spans="14:19" ht="27.95" customHeight="1">
      <c r="N1859" s="553"/>
      <c r="O1859" s="553"/>
      <c r="P1859" s="553"/>
      <c r="Q1859" s="553"/>
      <c r="R1859" s="553"/>
      <c r="S1859" s="553"/>
    </row>
    <row r="1860" spans="14:19" ht="27.95" customHeight="1">
      <c r="N1860" s="553"/>
      <c r="O1860" s="553"/>
      <c r="P1860" s="553"/>
      <c r="Q1860" s="553"/>
      <c r="R1860" s="553"/>
      <c r="S1860" s="553"/>
    </row>
    <row r="1861" spans="14:19" ht="27.95" customHeight="1">
      <c r="N1861" s="553"/>
      <c r="O1861" s="553"/>
      <c r="P1861" s="553"/>
      <c r="Q1861" s="553"/>
      <c r="R1861" s="553"/>
      <c r="S1861" s="553"/>
    </row>
    <row r="1862" spans="14:19" ht="27.95" customHeight="1">
      <c r="N1862" s="553"/>
      <c r="O1862" s="553"/>
      <c r="P1862" s="553"/>
      <c r="Q1862" s="553"/>
      <c r="R1862" s="553"/>
      <c r="S1862" s="553"/>
    </row>
    <row r="1863" spans="14:19" ht="27.95" customHeight="1">
      <c r="N1863" s="553"/>
      <c r="O1863" s="553"/>
      <c r="P1863" s="553"/>
      <c r="Q1863" s="553"/>
      <c r="R1863" s="553"/>
      <c r="S1863" s="553"/>
    </row>
    <row r="1864" spans="14:19" ht="27.95" customHeight="1">
      <c r="N1864" s="553"/>
      <c r="O1864" s="553"/>
      <c r="P1864" s="553"/>
      <c r="Q1864" s="553"/>
      <c r="R1864" s="553"/>
      <c r="S1864" s="553"/>
    </row>
    <row r="1865" spans="14:19" ht="27.95" customHeight="1">
      <c r="N1865" s="553"/>
      <c r="O1865" s="553"/>
      <c r="P1865" s="553"/>
      <c r="Q1865" s="553"/>
      <c r="R1865" s="553"/>
      <c r="S1865" s="553"/>
    </row>
    <row r="1866" spans="14:19" ht="27.95" customHeight="1">
      <c r="N1866" s="553"/>
      <c r="O1866" s="553"/>
      <c r="P1866" s="553"/>
      <c r="Q1866" s="553"/>
      <c r="R1866" s="553"/>
      <c r="S1866" s="553"/>
    </row>
    <row r="1867" spans="14:19" ht="27.95" customHeight="1">
      <c r="N1867" s="553"/>
      <c r="O1867" s="553"/>
      <c r="P1867" s="553"/>
      <c r="Q1867" s="553"/>
      <c r="R1867" s="553"/>
      <c r="S1867" s="553"/>
    </row>
    <row r="1868" spans="14:19" ht="27.95" customHeight="1">
      <c r="N1868" s="553"/>
      <c r="O1868" s="553"/>
      <c r="P1868" s="553"/>
      <c r="Q1868" s="553"/>
      <c r="R1868" s="553"/>
      <c r="S1868" s="553"/>
    </row>
    <row r="1869" spans="14:19" ht="27.95" customHeight="1">
      <c r="N1869" s="553"/>
      <c r="O1869" s="553"/>
      <c r="P1869" s="553"/>
      <c r="Q1869" s="553"/>
      <c r="R1869" s="553"/>
      <c r="S1869" s="553"/>
    </row>
    <row r="1870" spans="14:19" ht="27.95" customHeight="1">
      <c r="N1870" s="553"/>
      <c r="O1870" s="553"/>
      <c r="P1870" s="553"/>
      <c r="Q1870" s="553"/>
      <c r="R1870" s="553"/>
      <c r="S1870" s="553"/>
    </row>
    <row r="1871" spans="14:19" ht="27.95" customHeight="1">
      <c r="N1871" s="553"/>
      <c r="O1871" s="553"/>
      <c r="P1871" s="553"/>
      <c r="Q1871" s="553"/>
      <c r="R1871" s="553"/>
      <c r="S1871" s="553"/>
    </row>
    <row r="1872" spans="14:19" ht="27.95" customHeight="1">
      <c r="N1872" s="553"/>
      <c r="O1872" s="553"/>
      <c r="P1872" s="553"/>
      <c r="Q1872" s="553"/>
      <c r="R1872" s="553"/>
      <c r="S1872" s="553"/>
    </row>
    <row r="1873" spans="14:19" ht="27.95" customHeight="1">
      <c r="N1873" s="553"/>
      <c r="O1873" s="553"/>
      <c r="P1873" s="553"/>
      <c r="Q1873" s="553"/>
      <c r="R1873" s="553"/>
      <c r="S1873" s="553"/>
    </row>
    <row r="1874" spans="14:19" ht="27.95" customHeight="1">
      <c r="N1874" s="553"/>
      <c r="O1874" s="553"/>
      <c r="P1874" s="553"/>
      <c r="Q1874" s="553"/>
      <c r="R1874" s="553"/>
      <c r="S1874" s="553"/>
    </row>
    <row r="1875" spans="14:19" ht="27.95" customHeight="1">
      <c r="N1875" s="553"/>
      <c r="O1875" s="553"/>
      <c r="P1875" s="553"/>
      <c r="Q1875" s="553"/>
      <c r="R1875" s="553"/>
      <c r="S1875" s="553"/>
    </row>
    <row r="1876" spans="14:19" ht="27.95" customHeight="1">
      <c r="N1876" s="553"/>
      <c r="O1876" s="553"/>
      <c r="P1876" s="553"/>
      <c r="Q1876" s="553"/>
      <c r="R1876" s="553"/>
      <c r="S1876" s="553"/>
    </row>
    <row r="1877" spans="14:19" ht="27.95" customHeight="1">
      <c r="N1877" s="553"/>
      <c r="O1877" s="553"/>
      <c r="P1877" s="553"/>
      <c r="Q1877" s="553"/>
      <c r="R1877" s="553"/>
      <c r="S1877" s="553"/>
    </row>
    <row r="1878" spans="14:19" ht="27.95" customHeight="1">
      <c r="N1878" s="553"/>
      <c r="O1878" s="553"/>
      <c r="P1878" s="553"/>
      <c r="Q1878" s="553"/>
      <c r="R1878" s="553"/>
      <c r="S1878" s="553"/>
    </row>
    <row r="1879" spans="14:19" ht="27.95" customHeight="1">
      <c r="N1879" s="553"/>
      <c r="O1879" s="553"/>
      <c r="P1879" s="553"/>
      <c r="Q1879" s="553"/>
      <c r="R1879" s="553"/>
      <c r="S1879" s="553"/>
    </row>
    <row r="1880" spans="14:19" ht="27.95" customHeight="1">
      <c r="N1880" s="553"/>
      <c r="O1880" s="553"/>
      <c r="P1880" s="553"/>
      <c r="Q1880" s="553"/>
      <c r="R1880" s="553"/>
      <c r="S1880" s="553"/>
    </row>
    <row r="1881" spans="14:19" ht="27.95" customHeight="1">
      <c r="N1881" s="553"/>
      <c r="O1881" s="553"/>
      <c r="P1881" s="553"/>
      <c r="Q1881" s="553"/>
      <c r="R1881" s="553"/>
      <c r="S1881" s="553"/>
    </row>
    <row r="1882" spans="14:19" ht="27.95" customHeight="1">
      <c r="N1882" s="553"/>
      <c r="O1882" s="553"/>
      <c r="P1882" s="553"/>
      <c r="Q1882" s="553"/>
      <c r="R1882" s="553"/>
      <c r="S1882" s="553"/>
    </row>
    <row r="1883" spans="14:19" ht="27.95" customHeight="1">
      <c r="N1883" s="553"/>
      <c r="O1883" s="553"/>
      <c r="P1883" s="553"/>
      <c r="Q1883" s="553"/>
      <c r="R1883" s="553"/>
      <c r="S1883" s="553"/>
    </row>
    <row r="1884" spans="14:19" ht="27.95" customHeight="1">
      <c r="N1884" s="553"/>
      <c r="O1884" s="553"/>
      <c r="P1884" s="553"/>
      <c r="Q1884" s="553"/>
      <c r="R1884" s="553"/>
      <c r="S1884" s="553"/>
    </row>
    <row r="1885" spans="14:19" ht="27.95" customHeight="1">
      <c r="N1885" s="553"/>
      <c r="O1885" s="553"/>
      <c r="P1885" s="553"/>
      <c r="Q1885" s="553"/>
      <c r="R1885" s="553"/>
      <c r="S1885" s="553"/>
    </row>
    <row r="1886" spans="14:19" ht="27.95" customHeight="1">
      <c r="N1886" s="553"/>
      <c r="O1886" s="553"/>
      <c r="P1886" s="553"/>
      <c r="Q1886" s="553"/>
      <c r="R1886" s="553"/>
      <c r="S1886" s="553"/>
    </row>
    <row r="1887" spans="14:19" ht="27.95" customHeight="1">
      <c r="N1887" s="553"/>
      <c r="O1887" s="553"/>
      <c r="P1887" s="553"/>
      <c r="Q1887" s="553"/>
      <c r="R1887" s="553"/>
      <c r="S1887" s="553"/>
    </row>
    <row r="1888" spans="14:19" ht="27.95" customHeight="1">
      <c r="N1888" s="553"/>
      <c r="O1888" s="553"/>
      <c r="P1888" s="553"/>
      <c r="Q1888" s="553"/>
      <c r="R1888" s="553"/>
      <c r="S1888" s="553"/>
    </row>
    <row r="1889" spans="14:19" ht="27.95" customHeight="1">
      <c r="N1889" s="553"/>
      <c r="O1889" s="553"/>
      <c r="P1889" s="553"/>
      <c r="Q1889" s="553"/>
      <c r="R1889" s="553"/>
      <c r="S1889" s="553"/>
    </row>
    <row r="1890" spans="14:19" ht="27.95" customHeight="1">
      <c r="N1890" s="553"/>
      <c r="O1890" s="553"/>
      <c r="P1890" s="553"/>
      <c r="Q1890" s="553"/>
      <c r="R1890" s="553"/>
      <c r="S1890" s="553"/>
    </row>
    <row r="1891" spans="14:19" ht="27.95" customHeight="1">
      <c r="N1891" s="553"/>
      <c r="O1891" s="553"/>
      <c r="P1891" s="553"/>
      <c r="Q1891" s="553"/>
      <c r="R1891" s="553"/>
      <c r="S1891" s="553"/>
    </row>
    <row r="1892" spans="14:19" ht="27.95" customHeight="1">
      <c r="N1892" s="553"/>
      <c r="O1892" s="553"/>
      <c r="P1892" s="553"/>
      <c r="Q1892" s="553"/>
      <c r="R1892" s="553"/>
      <c r="S1892" s="553"/>
    </row>
    <row r="1893" spans="14:19" ht="27.95" customHeight="1">
      <c r="N1893" s="553"/>
      <c r="O1893" s="553"/>
      <c r="P1893" s="553"/>
      <c r="Q1893" s="553"/>
      <c r="R1893" s="553"/>
      <c r="S1893" s="553"/>
    </row>
    <row r="1894" spans="14:19" ht="27.95" customHeight="1">
      <c r="N1894" s="553"/>
      <c r="O1894" s="553"/>
      <c r="P1894" s="553"/>
      <c r="Q1894" s="553"/>
      <c r="R1894" s="553"/>
      <c r="S1894" s="553"/>
    </row>
    <row r="1895" spans="14:19" ht="27.95" customHeight="1">
      <c r="N1895" s="553"/>
      <c r="O1895" s="553"/>
      <c r="P1895" s="553"/>
      <c r="Q1895" s="553"/>
      <c r="R1895" s="553"/>
      <c r="S1895" s="553"/>
    </row>
    <row r="1896" spans="14:19" ht="27.95" customHeight="1">
      <c r="N1896" s="553"/>
      <c r="O1896" s="553"/>
      <c r="P1896" s="553"/>
      <c r="Q1896" s="553"/>
      <c r="R1896" s="553"/>
      <c r="S1896" s="553"/>
    </row>
    <row r="1897" spans="14:19" ht="27.95" customHeight="1">
      <c r="N1897" s="553"/>
      <c r="O1897" s="553"/>
      <c r="P1897" s="553"/>
      <c r="Q1897" s="553"/>
      <c r="R1897" s="553"/>
      <c r="S1897" s="553"/>
    </row>
    <row r="1898" spans="14:19" ht="27.95" customHeight="1">
      <c r="N1898" s="553"/>
      <c r="O1898" s="553"/>
      <c r="P1898" s="553"/>
      <c r="Q1898" s="553"/>
      <c r="R1898" s="553"/>
      <c r="S1898" s="553"/>
    </row>
    <row r="1899" spans="14:19" ht="27.95" customHeight="1">
      <c r="N1899" s="553"/>
      <c r="O1899" s="553"/>
      <c r="P1899" s="553"/>
      <c r="Q1899" s="553"/>
      <c r="R1899" s="553"/>
      <c r="S1899" s="553"/>
    </row>
    <row r="1900" spans="14:19" ht="27.95" customHeight="1">
      <c r="N1900" s="553"/>
      <c r="O1900" s="553"/>
      <c r="P1900" s="553"/>
      <c r="Q1900" s="553"/>
      <c r="R1900" s="553"/>
      <c r="S1900" s="553"/>
    </row>
    <row r="1901" spans="14:19" ht="27.95" customHeight="1">
      <c r="N1901" s="553"/>
      <c r="O1901" s="553"/>
      <c r="P1901" s="553"/>
      <c r="Q1901" s="553"/>
      <c r="R1901" s="553"/>
      <c r="S1901" s="553"/>
    </row>
    <row r="1902" spans="14:19" ht="27.95" customHeight="1">
      <c r="N1902" s="553"/>
      <c r="O1902" s="553"/>
      <c r="P1902" s="553"/>
      <c r="Q1902" s="553"/>
      <c r="R1902" s="553"/>
      <c r="S1902" s="553"/>
    </row>
    <row r="1903" spans="14:19" ht="27.95" customHeight="1">
      <c r="N1903" s="553"/>
      <c r="O1903" s="553"/>
      <c r="P1903" s="553"/>
      <c r="Q1903" s="553"/>
      <c r="R1903" s="553"/>
      <c r="S1903" s="553"/>
    </row>
    <row r="1904" spans="14:19" ht="27.95" customHeight="1">
      <c r="N1904" s="553"/>
      <c r="O1904" s="553"/>
      <c r="P1904" s="553"/>
      <c r="Q1904" s="553"/>
      <c r="R1904" s="553"/>
      <c r="S1904" s="553"/>
    </row>
    <row r="1905" spans="14:19" ht="27.95" customHeight="1">
      <c r="N1905" s="553"/>
      <c r="O1905" s="553"/>
      <c r="P1905" s="553"/>
      <c r="Q1905" s="553"/>
      <c r="R1905" s="553"/>
      <c r="S1905" s="553"/>
    </row>
    <row r="1906" spans="14:19" ht="27.95" customHeight="1">
      <c r="N1906" s="553"/>
      <c r="O1906" s="553"/>
      <c r="P1906" s="553"/>
      <c r="Q1906" s="553"/>
      <c r="R1906" s="553"/>
      <c r="S1906" s="553"/>
    </row>
    <row r="1907" spans="14:19" ht="27.95" customHeight="1">
      <c r="N1907" s="553"/>
      <c r="O1907" s="553"/>
      <c r="P1907" s="553"/>
      <c r="Q1907" s="553"/>
      <c r="R1907" s="553"/>
      <c r="S1907" s="553"/>
    </row>
    <row r="1908" spans="14:19" ht="27.95" customHeight="1">
      <c r="N1908" s="553"/>
      <c r="O1908" s="553"/>
      <c r="P1908" s="553"/>
      <c r="Q1908" s="553"/>
      <c r="R1908" s="553"/>
      <c r="S1908" s="553"/>
    </row>
    <row r="1909" spans="14:19" ht="27.95" customHeight="1">
      <c r="N1909" s="553"/>
      <c r="O1909" s="553"/>
      <c r="P1909" s="553"/>
      <c r="Q1909" s="553"/>
      <c r="R1909" s="553"/>
      <c r="S1909" s="553"/>
    </row>
    <row r="1910" spans="14:19" ht="27.95" customHeight="1">
      <c r="N1910" s="553"/>
      <c r="O1910" s="553"/>
      <c r="P1910" s="553"/>
      <c r="Q1910" s="553"/>
      <c r="R1910" s="553"/>
      <c r="S1910" s="553"/>
    </row>
    <row r="1911" spans="14:19" ht="27.95" customHeight="1">
      <c r="N1911" s="553"/>
      <c r="O1911" s="553"/>
      <c r="P1911" s="553"/>
      <c r="Q1911" s="553"/>
      <c r="R1911" s="553"/>
      <c r="S1911" s="553"/>
    </row>
    <row r="1912" spans="14:19" ht="27.95" customHeight="1">
      <c r="N1912" s="553"/>
      <c r="O1912" s="553"/>
      <c r="P1912" s="553"/>
      <c r="Q1912" s="553"/>
      <c r="R1912" s="553"/>
      <c r="S1912" s="553"/>
    </row>
    <row r="1913" spans="14:19" ht="27.95" customHeight="1">
      <c r="N1913" s="553"/>
      <c r="O1913" s="553"/>
      <c r="P1913" s="553"/>
      <c r="Q1913" s="553"/>
      <c r="R1913" s="553"/>
      <c r="S1913" s="553"/>
    </row>
    <row r="1914" spans="14:19" ht="27.95" customHeight="1">
      <c r="N1914" s="553"/>
      <c r="O1914" s="553"/>
      <c r="P1914" s="553"/>
      <c r="Q1914" s="553"/>
      <c r="R1914" s="553"/>
      <c r="S1914" s="553"/>
    </row>
    <row r="1915" spans="14:19" ht="27.95" customHeight="1">
      <c r="N1915" s="553"/>
      <c r="O1915" s="553"/>
      <c r="P1915" s="553"/>
      <c r="Q1915" s="553"/>
      <c r="R1915" s="553"/>
      <c r="S1915" s="553"/>
    </row>
    <row r="1916" spans="14:19" ht="27.95" customHeight="1">
      <c r="N1916" s="553"/>
      <c r="O1916" s="553"/>
      <c r="P1916" s="553"/>
      <c r="Q1916" s="553"/>
      <c r="R1916" s="553"/>
      <c r="S1916" s="553"/>
    </row>
    <row r="1917" spans="14:19" ht="27.95" customHeight="1">
      <c r="N1917" s="553"/>
      <c r="O1917" s="553"/>
      <c r="P1917" s="553"/>
      <c r="Q1917" s="553"/>
      <c r="R1917" s="553"/>
      <c r="S1917" s="553"/>
    </row>
    <row r="1918" spans="14:19" ht="27.95" customHeight="1">
      <c r="N1918" s="553"/>
      <c r="O1918" s="553"/>
      <c r="P1918" s="553"/>
      <c r="Q1918" s="553"/>
      <c r="R1918" s="553"/>
      <c r="S1918" s="553"/>
    </row>
    <row r="1919" spans="14:19" ht="27.95" customHeight="1">
      <c r="N1919" s="553"/>
      <c r="O1919" s="553"/>
      <c r="P1919" s="553"/>
      <c r="Q1919" s="553"/>
      <c r="R1919" s="553"/>
      <c r="S1919" s="553"/>
    </row>
    <row r="1920" spans="14:19" ht="27.95" customHeight="1">
      <c r="N1920" s="553"/>
      <c r="O1920" s="553"/>
      <c r="P1920" s="553"/>
      <c r="Q1920" s="553"/>
      <c r="R1920" s="553"/>
      <c r="S1920" s="553"/>
    </row>
    <row r="1921" spans="14:19" ht="27.95" customHeight="1">
      <c r="N1921" s="553"/>
      <c r="O1921" s="553"/>
      <c r="P1921" s="553"/>
      <c r="Q1921" s="553"/>
      <c r="R1921" s="553"/>
      <c r="S1921" s="553"/>
    </row>
    <row r="1922" spans="14:19" ht="27.95" customHeight="1">
      <c r="N1922" s="553"/>
      <c r="O1922" s="553"/>
      <c r="P1922" s="553"/>
      <c r="Q1922" s="553"/>
      <c r="R1922" s="553"/>
      <c r="S1922" s="553"/>
    </row>
    <row r="1923" spans="14:19" ht="27.95" customHeight="1">
      <c r="N1923" s="553"/>
      <c r="O1923" s="553"/>
      <c r="P1923" s="553"/>
      <c r="Q1923" s="553"/>
      <c r="R1923" s="553"/>
      <c r="S1923" s="553"/>
    </row>
    <row r="1924" spans="14:19" ht="27.95" customHeight="1">
      <c r="N1924" s="553"/>
      <c r="O1924" s="553"/>
      <c r="P1924" s="553"/>
      <c r="Q1924" s="553"/>
      <c r="R1924" s="553"/>
      <c r="S1924" s="553"/>
    </row>
    <row r="1925" spans="14:19" ht="27.95" customHeight="1">
      <c r="N1925" s="553"/>
      <c r="O1925" s="553"/>
      <c r="P1925" s="553"/>
      <c r="Q1925" s="553"/>
      <c r="R1925" s="553"/>
      <c r="S1925" s="553"/>
    </row>
    <row r="1926" spans="14:19" ht="27.95" customHeight="1">
      <c r="N1926" s="553"/>
      <c r="O1926" s="553"/>
      <c r="P1926" s="553"/>
      <c r="Q1926" s="553"/>
      <c r="R1926" s="553"/>
      <c r="S1926" s="553"/>
    </row>
    <row r="1927" spans="14:19" ht="27.95" customHeight="1">
      <c r="N1927" s="553"/>
      <c r="O1927" s="553"/>
      <c r="P1927" s="553"/>
      <c r="Q1927" s="553"/>
      <c r="R1927" s="553"/>
      <c r="S1927" s="553"/>
    </row>
    <row r="1928" spans="14:19" ht="27.95" customHeight="1">
      <c r="N1928" s="553"/>
      <c r="O1928" s="553"/>
      <c r="P1928" s="553"/>
      <c r="Q1928" s="553"/>
      <c r="R1928" s="553"/>
      <c r="S1928" s="553"/>
    </row>
    <row r="1929" spans="14:19" ht="27.95" customHeight="1">
      <c r="N1929" s="553"/>
      <c r="O1929" s="553"/>
      <c r="P1929" s="553"/>
      <c r="Q1929" s="553"/>
      <c r="R1929" s="553"/>
      <c r="S1929" s="553"/>
    </row>
    <row r="1930" spans="14:19" ht="27.95" customHeight="1">
      <c r="N1930" s="553"/>
      <c r="O1930" s="553"/>
      <c r="P1930" s="553"/>
      <c r="Q1930" s="553"/>
      <c r="R1930" s="553"/>
      <c r="S1930" s="553"/>
    </row>
    <row r="1931" spans="14:19" ht="27.95" customHeight="1">
      <c r="N1931" s="553"/>
      <c r="O1931" s="553"/>
      <c r="P1931" s="553"/>
      <c r="Q1931" s="553"/>
      <c r="R1931" s="553"/>
      <c r="S1931" s="553"/>
    </row>
    <row r="1932" spans="14:19" ht="27.95" customHeight="1">
      <c r="N1932" s="553"/>
      <c r="O1932" s="553"/>
      <c r="P1932" s="553"/>
      <c r="Q1932" s="553"/>
      <c r="R1932" s="553"/>
      <c r="S1932" s="553"/>
    </row>
    <row r="1933" spans="14:19" ht="27.95" customHeight="1">
      <c r="N1933" s="553"/>
      <c r="O1933" s="553"/>
      <c r="P1933" s="553"/>
      <c r="Q1933" s="553"/>
      <c r="R1933" s="553"/>
      <c r="S1933" s="553"/>
    </row>
    <row r="1934" spans="14:19" ht="27.95" customHeight="1">
      <c r="N1934" s="553"/>
      <c r="O1934" s="553"/>
      <c r="P1934" s="553"/>
      <c r="Q1934" s="553"/>
      <c r="R1934" s="553"/>
      <c r="S1934" s="553"/>
    </row>
    <row r="1935" spans="14:19" ht="27.95" customHeight="1">
      <c r="N1935" s="553"/>
      <c r="O1935" s="553"/>
      <c r="P1935" s="553"/>
      <c r="Q1935" s="553"/>
      <c r="R1935" s="553"/>
      <c r="S1935" s="553"/>
    </row>
    <row r="1936" spans="14:19" ht="27.95" customHeight="1">
      <c r="N1936" s="553"/>
      <c r="O1936" s="553"/>
      <c r="P1936" s="553"/>
      <c r="Q1936" s="553"/>
      <c r="R1936" s="553"/>
      <c r="S1936" s="553"/>
    </row>
    <row r="1937" spans="14:19" ht="27.95" customHeight="1">
      <c r="N1937" s="553"/>
      <c r="O1937" s="553"/>
      <c r="P1937" s="553"/>
      <c r="Q1937" s="553"/>
      <c r="R1937" s="553"/>
      <c r="S1937" s="553"/>
    </row>
    <row r="1938" spans="14:19" ht="27.95" customHeight="1">
      <c r="N1938" s="553"/>
      <c r="O1938" s="553"/>
      <c r="P1938" s="553"/>
      <c r="Q1938" s="553"/>
      <c r="R1938" s="553"/>
      <c r="S1938" s="553"/>
    </row>
    <row r="1939" spans="14:19" ht="27.95" customHeight="1">
      <c r="N1939" s="553"/>
      <c r="O1939" s="553"/>
      <c r="P1939" s="553"/>
      <c r="Q1939" s="553"/>
      <c r="R1939" s="553"/>
      <c r="S1939" s="553"/>
    </row>
    <row r="1940" spans="14:19" ht="27.95" customHeight="1">
      <c r="N1940" s="553"/>
      <c r="O1940" s="553"/>
      <c r="P1940" s="553"/>
      <c r="Q1940" s="553"/>
      <c r="R1940" s="553"/>
      <c r="S1940" s="553"/>
    </row>
    <row r="1941" spans="14:19" ht="27.95" customHeight="1">
      <c r="N1941" s="553"/>
      <c r="O1941" s="553"/>
      <c r="P1941" s="553"/>
      <c r="Q1941" s="553"/>
      <c r="R1941" s="553"/>
      <c r="S1941" s="553"/>
    </row>
    <row r="1942" spans="14:19" ht="27.95" customHeight="1">
      <c r="N1942" s="553"/>
      <c r="O1942" s="553"/>
      <c r="P1942" s="553"/>
      <c r="Q1942" s="553"/>
      <c r="R1942" s="553"/>
      <c r="S1942" s="553"/>
    </row>
    <row r="1943" spans="14:19" ht="27.95" customHeight="1">
      <c r="N1943" s="553"/>
      <c r="O1943" s="553"/>
      <c r="P1943" s="553"/>
      <c r="Q1943" s="553"/>
      <c r="R1943" s="553"/>
      <c r="S1943" s="553"/>
    </row>
    <row r="1944" spans="14:19" ht="27.95" customHeight="1">
      <c r="N1944" s="553"/>
      <c r="O1944" s="553"/>
      <c r="P1944" s="553"/>
      <c r="Q1944" s="553"/>
      <c r="R1944" s="553"/>
      <c r="S1944" s="553"/>
    </row>
    <row r="1945" spans="14:19" ht="27.95" customHeight="1">
      <c r="N1945" s="553"/>
      <c r="O1945" s="553"/>
      <c r="P1945" s="553"/>
      <c r="Q1945" s="553"/>
      <c r="R1945" s="553"/>
      <c r="S1945" s="553"/>
    </row>
    <row r="1946" spans="14:19" ht="27.95" customHeight="1">
      <c r="N1946" s="553"/>
      <c r="O1946" s="553"/>
      <c r="P1946" s="553"/>
      <c r="Q1946" s="553"/>
      <c r="R1946" s="553"/>
      <c r="S1946" s="553"/>
    </row>
    <row r="1947" spans="14:19" ht="27.95" customHeight="1">
      <c r="N1947" s="553"/>
      <c r="O1947" s="553"/>
      <c r="P1947" s="553"/>
      <c r="Q1947" s="553"/>
      <c r="R1947" s="553"/>
      <c r="S1947" s="553"/>
    </row>
    <row r="1948" spans="14:19" ht="27.95" customHeight="1">
      <c r="N1948" s="553"/>
      <c r="O1948" s="553"/>
      <c r="P1948" s="553"/>
      <c r="Q1948" s="553"/>
      <c r="R1948" s="553"/>
      <c r="S1948" s="553"/>
    </row>
    <row r="1949" spans="14:19" ht="27.95" customHeight="1">
      <c r="N1949" s="553"/>
      <c r="O1949" s="553"/>
      <c r="P1949" s="553"/>
      <c r="Q1949" s="553"/>
      <c r="R1949" s="553"/>
      <c r="S1949" s="553"/>
    </row>
    <row r="1950" spans="14:19" ht="27.95" customHeight="1">
      <c r="N1950" s="553"/>
      <c r="O1950" s="553"/>
      <c r="P1950" s="553"/>
      <c r="Q1950" s="553"/>
      <c r="R1950" s="553"/>
      <c r="S1950" s="553"/>
    </row>
    <row r="1951" spans="14:19" ht="27.95" customHeight="1">
      <c r="N1951" s="553"/>
      <c r="O1951" s="553"/>
      <c r="P1951" s="553"/>
      <c r="Q1951" s="553"/>
      <c r="R1951" s="553"/>
      <c r="S1951" s="553"/>
    </row>
    <row r="1952" spans="14:19" ht="27.95" customHeight="1">
      <c r="N1952" s="553"/>
      <c r="O1952" s="553"/>
      <c r="P1952" s="553"/>
      <c r="Q1952" s="553"/>
      <c r="R1952" s="553"/>
      <c r="S1952" s="553"/>
    </row>
    <row r="1953" spans="14:19" ht="27.95" customHeight="1">
      <c r="N1953" s="553"/>
      <c r="O1953" s="553"/>
      <c r="P1953" s="553"/>
      <c r="Q1953" s="553"/>
      <c r="R1953" s="553"/>
      <c r="S1953" s="553"/>
    </row>
    <row r="1954" spans="14:19" ht="27.95" customHeight="1">
      <c r="N1954" s="553"/>
      <c r="O1954" s="553"/>
      <c r="P1954" s="553"/>
      <c r="Q1954" s="553"/>
      <c r="R1954" s="553"/>
      <c r="S1954" s="553"/>
    </row>
    <row r="1955" spans="14:19" ht="27.95" customHeight="1">
      <c r="N1955" s="553"/>
      <c r="O1955" s="553"/>
      <c r="P1955" s="553"/>
      <c r="Q1955" s="553"/>
      <c r="R1955" s="553"/>
      <c r="S1955" s="553"/>
    </row>
    <row r="1956" spans="14:19" ht="27.95" customHeight="1">
      <c r="N1956" s="553"/>
      <c r="O1956" s="553"/>
      <c r="P1956" s="553"/>
      <c r="Q1956" s="553"/>
      <c r="R1956" s="553"/>
      <c r="S1956" s="553"/>
    </row>
    <row r="1957" spans="14:19" ht="27.95" customHeight="1">
      <c r="N1957" s="553"/>
      <c r="O1957" s="553"/>
      <c r="P1957" s="553"/>
      <c r="Q1957" s="553"/>
      <c r="R1957" s="553"/>
      <c r="S1957" s="553"/>
    </row>
    <row r="1958" spans="14:19" ht="27.95" customHeight="1">
      <c r="N1958" s="553"/>
      <c r="O1958" s="553"/>
      <c r="P1958" s="553"/>
      <c r="Q1958" s="553"/>
      <c r="R1958" s="553"/>
      <c r="S1958" s="553"/>
    </row>
    <row r="1959" spans="14:19" ht="27.95" customHeight="1">
      <c r="N1959" s="553"/>
      <c r="O1959" s="553"/>
      <c r="P1959" s="553"/>
      <c r="Q1959" s="553"/>
      <c r="R1959" s="553"/>
      <c r="S1959" s="553"/>
    </row>
    <row r="1960" spans="14:19" ht="27.95" customHeight="1">
      <c r="N1960" s="553"/>
      <c r="O1960" s="553"/>
      <c r="P1960" s="553"/>
      <c r="Q1960" s="553"/>
      <c r="R1960" s="553"/>
      <c r="S1960" s="553"/>
    </row>
    <row r="1961" spans="14:19" ht="27.95" customHeight="1">
      <c r="N1961" s="553"/>
      <c r="O1961" s="553"/>
      <c r="P1961" s="553"/>
      <c r="Q1961" s="553"/>
      <c r="R1961" s="553"/>
      <c r="S1961" s="553"/>
    </row>
    <row r="1962" spans="14:19" ht="27.95" customHeight="1">
      <c r="N1962" s="553"/>
      <c r="O1962" s="553"/>
      <c r="P1962" s="553"/>
      <c r="Q1962" s="553"/>
      <c r="R1962" s="553"/>
      <c r="S1962" s="553"/>
    </row>
    <row r="1963" spans="14:19" ht="27.95" customHeight="1">
      <c r="N1963" s="553"/>
      <c r="O1963" s="553"/>
      <c r="P1963" s="553"/>
      <c r="Q1963" s="553"/>
      <c r="R1963" s="553"/>
      <c r="S1963" s="553"/>
    </row>
    <row r="1964" spans="14:19" ht="27.95" customHeight="1">
      <c r="N1964" s="553"/>
      <c r="O1964" s="553"/>
      <c r="P1964" s="553"/>
      <c r="Q1964" s="553"/>
      <c r="R1964" s="553"/>
      <c r="S1964" s="553"/>
    </row>
    <row r="1965" spans="14:19" ht="27.95" customHeight="1">
      <c r="N1965" s="553"/>
      <c r="O1965" s="553"/>
      <c r="P1965" s="553"/>
      <c r="Q1965" s="553"/>
      <c r="R1965" s="553"/>
      <c r="S1965" s="553"/>
    </row>
    <row r="1966" spans="14:19" ht="27.95" customHeight="1">
      <c r="N1966" s="553"/>
      <c r="O1966" s="553"/>
      <c r="P1966" s="553"/>
      <c r="Q1966" s="553"/>
      <c r="R1966" s="553"/>
      <c r="S1966" s="553"/>
    </row>
    <row r="1967" spans="14:19" ht="27.95" customHeight="1">
      <c r="N1967" s="553"/>
      <c r="O1967" s="553"/>
      <c r="P1967" s="553"/>
      <c r="Q1967" s="553"/>
      <c r="R1967" s="553"/>
      <c r="S1967" s="553"/>
    </row>
    <row r="1968" spans="14:19" ht="27.95" customHeight="1">
      <c r="N1968" s="553"/>
      <c r="O1968" s="553"/>
      <c r="P1968" s="553"/>
      <c r="Q1968" s="553"/>
      <c r="R1968" s="553"/>
      <c r="S1968" s="553"/>
    </row>
    <row r="1969" spans="14:19" ht="27.95" customHeight="1">
      <c r="N1969" s="553"/>
      <c r="O1969" s="553"/>
      <c r="P1969" s="553"/>
      <c r="Q1969" s="553"/>
      <c r="R1969" s="553"/>
      <c r="S1969" s="553"/>
    </row>
    <row r="1970" spans="14:19" ht="27.95" customHeight="1">
      <c r="N1970" s="553"/>
      <c r="O1970" s="553"/>
      <c r="P1970" s="553"/>
      <c r="Q1970" s="553"/>
      <c r="R1970" s="553"/>
      <c r="S1970" s="553"/>
    </row>
    <row r="1971" spans="14:19" ht="27.95" customHeight="1">
      <c r="N1971" s="553"/>
      <c r="O1971" s="553"/>
      <c r="P1971" s="553"/>
      <c r="Q1971" s="553"/>
      <c r="R1971" s="553"/>
      <c r="S1971" s="553"/>
    </row>
    <row r="1972" spans="14:19" ht="27.95" customHeight="1">
      <c r="N1972" s="553"/>
      <c r="O1972" s="553"/>
      <c r="P1972" s="553"/>
      <c r="Q1972" s="553"/>
      <c r="R1972" s="553"/>
      <c r="S1972" s="553"/>
    </row>
    <row r="1973" spans="14:19" ht="27.95" customHeight="1">
      <c r="N1973" s="553"/>
      <c r="O1973" s="553"/>
      <c r="P1973" s="553"/>
      <c r="Q1973" s="553"/>
      <c r="R1973" s="553"/>
      <c r="S1973" s="553"/>
    </row>
    <row r="1974" spans="14:19" ht="27.95" customHeight="1">
      <c r="N1974" s="553"/>
      <c r="O1974" s="553"/>
      <c r="P1974" s="553"/>
      <c r="Q1974" s="553"/>
      <c r="R1974" s="553"/>
      <c r="S1974" s="553"/>
    </row>
    <row r="1975" spans="14:19" ht="27.95" customHeight="1">
      <c r="N1975" s="553"/>
      <c r="O1975" s="553"/>
      <c r="P1975" s="553"/>
      <c r="Q1975" s="553"/>
      <c r="R1975" s="553"/>
      <c r="S1975" s="553"/>
    </row>
    <row r="1976" spans="14:19" ht="27.95" customHeight="1">
      <c r="N1976" s="553"/>
      <c r="O1976" s="553"/>
      <c r="P1976" s="553"/>
      <c r="Q1976" s="553"/>
      <c r="R1976" s="553"/>
      <c r="S1976" s="553"/>
    </row>
    <row r="1977" spans="14:19" ht="27.95" customHeight="1">
      <c r="N1977" s="553"/>
      <c r="O1977" s="553"/>
      <c r="P1977" s="553"/>
      <c r="Q1977" s="553"/>
      <c r="R1977" s="553"/>
      <c r="S1977" s="553"/>
    </row>
    <row r="1978" spans="14:19" ht="27.95" customHeight="1">
      <c r="N1978" s="553"/>
      <c r="O1978" s="553"/>
      <c r="P1978" s="553"/>
      <c r="Q1978" s="553"/>
      <c r="R1978" s="553"/>
      <c r="S1978" s="553"/>
    </row>
    <row r="1979" spans="14:19" ht="27.95" customHeight="1">
      <c r="N1979" s="553"/>
      <c r="O1979" s="553"/>
      <c r="P1979" s="553"/>
      <c r="Q1979" s="553"/>
      <c r="R1979" s="553"/>
      <c r="S1979" s="553"/>
    </row>
    <row r="1980" spans="14:19" ht="27.95" customHeight="1">
      <c r="N1980" s="553"/>
      <c r="O1980" s="553"/>
      <c r="P1980" s="553"/>
      <c r="Q1980" s="553"/>
      <c r="R1980" s="553"/>
      <c r="S1980" s="553"/>
    </row>
    <row r="1981" spans="14:19" ht="27.95" customHeight="1">
      <c r="N1981" s="553"/>
      <c r="O1981" s="553"/>
      <c r="P1981" s="553"/>
      <c r="Q1981" s="553"/>
      <c r="R1981" s="553"/>
      <c r="S1981" s="553"/>
    </row>
    <row r="1982" spans="14:19" ht="27.95" customHeight="1">
      <c r="N1982" s="553"/>
      <c r="O1982" s="553"/>
      <c r="P1982" s="553"/>
      <c r="Q1982" s="553"/>
      <c r="R1982" s="553"/>
      <c r="S1982" s="553"/>
    </row>
    <row r="1983" spans="14:19" ht="27.95" customHeight="1">
      <c r="N1983" s="553"/>
      <c r="O1983" s="553"/>
      <c r="P1983" s="553"/>
      <c r="Q1983" s="553"/>
      <c r="R1983" s="553"/>
      <c r="S1983" s="553"/>
    </row>
    <row r="1984" spans="14:19" ht="27.95" customHeight="1">
      <c r="N1984" s="553"/>
      <c r="O1984" s="553"/>
      <c r="P1984" s="553"/>
      <c r="Q1984" s="553"/>
      <c r="R1984" s="553"/>
      <c r="S1984" s="553"/>
    </row>
    <row r="1985" spans="14:19" ht="27.95" customHeight="1">
      <c r="N1985" s="553"/>
      <c r="O1985" s="553"/>
      <c r="P1985" s="553"/>
      <c r="Q1985" s="553"/>
      <c r="R1985" s="553"/>
      <c r="S1985" s="553"/>
    </row>
    <row r="1986" spans="14:19" ht="27.95" customHeight="1">
      <c r="N1986" s="553"/>
      <c r="O1986" s="553"/>
      <c r="P1986" s="553"/>
      <c r="Q1986" s="553"/>
      <c r="R1986" s="553"/>
      <c r="S1986" s="553"/>
    </row>
    <row r="1987" spans="14:19" ht="27.95" customHeight="1">
      <c r="N1987" s="553"/>
      <c r="O1987" s="553"/>
      <c r="P1987" s="553"/>
      <c r="Q1987" s="553"/>
      <c r="R1987" s="553"/>
      <c r="S1987" s="553"/>
    </row>
    <row r="1988" spans="14:19" ht="27.95" customHeight="1">
      <c r="N1988" s="553"/>
      <c r="O1988" s="553"/>
      <c r="P1988" s="553"/>
      <c r="Q1988" s="553"/>
      <c r="R1988" s="553"/>
      <c r="S1988" s="553"/>
    </row>
    <row r="1989" spans="14:19" ht="27.95" customHeight="1">
      <c r="N1989" s="553"/>
      <c r="O1989" s="553"/>
      <c r="P1989" s="553"/>
      <c r="Q1989" s="553"/>
      <c r="R1989" s="553"/>
      <c r="S1989" s="553"/>
    </row>
    <row r="1990" spans="14:19" ht="27.95" customHeight="1">
      <c r="N1990" s="553"/>
      <c r="O1990" s="553"/>
      <c r="P1990" s="553"/>
      <c r="Q1990" s="553"/>
      <c r="R1990" s="553"/>
      <c r="S1990" s="553"/>
    </row>
    <row r="1991" spans="14:19" ht="27.95" customHeight="1">
      <c r="N1991" s="553"/>
      <c r="O1991" s="553"/>
      <c r="P1991" s="553"/>
      <c r="Q1991" s="553"/>
      <c r="R1991" s="553"/>
      <c r="S1991" s="553"/>
    </row>
    <row r="1992" spans="14:19" ht="27.95" customHeight="1">
      <c r="N1992" s="553"/>
      <c r="O1992" s="553"/>
      <c r="P1992" s="553"/>
      <c r="Q1992" s="553"/>
      <c r="R1992" s="553"/>
      <c r="S1992" s="553"/>
    </row>
    <row r="1993" spans="14:19" ht="27.95" customHeight="1">
      <c r="N1993" s="553"/>
      <c r="O1993" s="553"/>
      <c r="P1993" s="553"/>
      <c r="Q1993" s="553"/>
      <c r="R1993" s="553"/>
      <c r="S1993" s="553"/>
    </row>
    <row r="1994" spans="14:19" ht="27.95" customHeight="1">
      <c r="N1994" s="553"/>
      <c r="O1994" s="553"/>
      <c r="P1994" s="553"/>
      <c r="Q1994" s="553"/>
      <c r="R1994" s="553"/>
      <c r="S1994" s="553"/>
    </row>
    <row r="1995" spans="14:19" ht="27.95" customHeight="1">
      <c r="N1995" s="553"/>
      <c r="O1995" s="553"/>
      <c r="P1995" s="553"/>
      <c r="Q1995" s="553"/>
      <c r="R1995" s="553"/>
      <c r="S1995" s="553"/>
    </row>
    <row r="1996" spans="14:19" ht="27.95" customHeight="1">
      <c r="N1996" s="553"/>
      <c r="O1996" s="553"/>
      <c r="P1996" s="553"/>
      <c r="Q1996" s="553"/>
      <c r="R1996" s="553"/>
      <c r="S1996" s="553"/>
    </row>
    <row r="1997" spans="14:19" ht="27.95" customHeight="1">
      <c r="N1997" s="553"/>
      <c r="O1997" s="553"/>
      <c r="P1997" s="553"/>
      <c r="Q1997" s="553"/>
      <c r="R1997" s="553"/>
      <c r="S1997" s="553"/>
    </row>
    <row r="1998" spans="14:19" ht="27.95" customHeight="1">
      <c r="N1998" s="553"/>
      <c r="O1998" s="553"/>
      <c r="P1998" s="553"/>
      <c r="Q1998" s="553"/>
      <c r="R1998" s="553"/>
      <c r="S1998" s="553"/>
    </row>
    <row r="1999" spans="14:19" ht="27.95" customHeight="1">
      <c r="N1999" s="553"/>
      <c r="O1999" s="553"/>
      <c r="P1999" s="553"/>
      <c r="Q1999" s="553"/>
      <c r="R1999" s="553"/>
      <c r="S1999" s="553"/>
    </row>
    <row r="2000" spans="14:19" ht="27.95" customHeight="1">
      <c r="N2000" s="553"/>
      <c r="O2000" s="553"/>
      <c r="P2000" s="553"/>
      <c r="Q2000" s="553"/>
      <c r="R2000" s="553"/>
      <c r="S2000" s="553"/>
    </row>
    <row r="2001" spans="14:19" ht="27.95" customHeight="1">
      <c r="N2001" s="553"/>
      <c r="O2001" s="553"/>
      <c r="P2001" s="553"/>
      <c r="Q2001" s="553"/>
      <c r="R2001" s="553"/>
      <c r="S2001" s="553"/>
    </row>
    <row r="2002" spans="14:19" ht="27.95" customHeight="1">
      <c r="N2002" s="553"/>
      <c r="O2002" s="553"/>
      <c r="P2002" s="553"/>
      <c r="Q2002" s="553"/>
      <c r="R2002" s="553"/>
      <c r="S2002" s="553"/>
    </row>
    <row r="2003" spans="14:19" ht="27.95" customHeight="1">
      <c r="N2003" s="553"/>
      <c r="O2003" s="553"/>
      <c r="P2003" s="553"/>
      <c r="Q2003" s="553"/>
      <c r="R2003" s="553"/>
      <c r="S2003" s="553"/>
    </row>
    <row r="2004" spans="14:19" ht="27.95" customHeight="1">
      <c r="N2004" s="553"/>
      <c r="O2004" s="553"/>
      <c r="P2004" s="553"/>
      <c r="Q2004" s="553"/>
      <c r="R2004" s="553"/>
      <c r="S2004" s="553"/>
    </row>
    <row r="2005" spans="14:19" ht="27.95" customHeight="1">
      <c r="N2005" s="553"/>
      <c r="O2005" s="553"/>
      <c r="P2005" s="553"/>
      <c r="Q2005" s="553"/>
      <c r="R2005" s="553"/>
      <c r="S2005" s="553"/>
    </row>
    <row r="2006" spans="14:19" ht="27.95" customHeight="1">
      <c r="N2006" s="553"/>
      <c r="O2006" s="553"/>
      <c r="P2006" s="553"/>
      <c r="Q2006" s="553"/>
      <c r="R2006" s="553"/>
      <c r="S2006" s="553"/>
    </row>
    <row r="2007" spans="14:19" ht="27.95" customHeight="1">
      <c r="N2007" s="553"/>
      <c r="O2007" s="553"/>
      <c r="P2007" s="553"/>
      <c r="Q2007" s="553"/>
      <c r="R2007" s="553"/>
      <c r="S2007" s="553"/>
    </row>
    <row r="2008" spans="14:19" ht="27.95" customHeight="1">
      <c r="N2008" s="553"/>
      <c r="O2008" s="553"/>
      <c r="P2008" s="553"/>
      <c r="Q2008" s="553"/>
      <c r="R2008" s="553"/>
      <c r="S2008" s="553"/>
    </row>
    <row r="2009" spans="14:19" ht="27.95" customHeight="1">
      <c r="N2009" s="553"/>
      <c r="O2009" s="553"/>
      <c r="P2009" s="553"/>
      <c r="Q2009" s="553"/>
      <c r="R2009" s="553"/>
      <c r="S2009" s="553"/>
    </row>
    <row r="2010" spans="14:19" ht="27.95" customHeight="1">
      <c r="N2010" s="553"/>
      <c r="O2010" s="553"/>
      <c r="P2010" s="553"/>
      <c r="Q2010" s="553"/>
      <c r="R2010" s="553"/>
      <c r="S2010" s="553"/>
    </row>
    <row r="2011" spans="14:19" ht="27.95" customHeight="1">
      <c r="N2011" s="553"/>
      <c r="O2011" s="553"/>
      <c r="P2011" s="553"/>
      <c r="Q2011" s="553"/>
      <c r="R2011" s="553"/>
      <c r="S2011" s="553"/>
    </row>
    <row r="2012" spans="14:19" ht="27.95" customHeight="1">
      <c r="N2012" s="553"/>
      <c r="O2012" s="553"/>
      <c r="P2012" s="553"/>
      <c r="Q2012" s="553"/>
      <c r="R2012" s="553"/>
      <c r="S2012" s="553"/>
    </row>
    <row r="2013" spans="14:19" ht="27.95" customHeight="1">
      <c r="N2013" s="553"/>
      <c r="O2013" s="553"/>
      <c r="P2013" s="553"/>
      <c r="Q2013" s="553"/>
      <c r="R2013" s="553"/>
      <c r="S2013" s="553"/>
    </row>
    <row r="2014" spans="14:19" ht="27.95" customHeight="1">
      <c r="N2014" s="553"/>
      <c r="O2014" s="553"/>
      <c r="P2014" s="553"/>
      <c r="Q2014" s="553"/>
      <c r="R2014" s="553"/>
      <c r="S2014" s="553"/>
    </row>
    <row r="2015" spans="14:19" ht="27.95" customHeight="1">
      <c r="N2015" s="553"/>
      <c r="O2015" s="553"/>
      <c r="P2015" s="553"/>
      <c r="Q2015" s="553"/>
      <c r="R2015" s="553"/>
      <c r="S2015" s="553"/>
    </row>
    <row r="2016" spans="14:19" ht="27.95" customHeight="1">
      <c r="N2016" s="553"/>
      <c r="O2016" s="553"/>
      <c r="P2016" s="553"/>
      <c r="Q2016" s="553"/>
      <c r="R2016" s="553"/>
      <c r="S2016" s="553"/>
    </row>
    <row r="2017" spans="14:19" ht="27.95" customHeight="1">
      <c r="N2017" s="553"/>
      <c r="O2017" s="553"/>
      <c r="P2017" s="553"/>
      <c r="Q2017" s="553"/>
      <c r="R2017" s="553"/>
      <c r="S2017" s="553"/>
    </row>
    <row r="2018" spans="14:19" ht="27.95" customHeight="1">
      <c r="N2018" s="553"/>
      <c r="O2018" s="553"/>
      <c r="P2018" s="553"/>
      <c r="Q2018" s="553"/>
      <c r="R2018" s="553"/>
      <c r="S2018" s="553"/>
    </row>
    <row r="2019" spans="14:19" ht="27.95" customHeight="1">
      <c r="N2019" s="553"/>
      <c r="O2019" s="553"/>
      <c r="P2019" s="553"/>
      <c r="Q2019" s="553"/>
      <c r="R2019" s="553"/>
      <c r="S2019" s="553"/>
    </row>
    <row r="2020" spans="14:19" ht="27.95" customHeight="1">
      <c r="N2020" s="553"/>
      <c r="O2020" s="553"/>
      <c r="P2020" s="553"/>
      <c r="Q2020" s="553"/>
      <c r="R2020" s="553"/>
      <c r="S2020" s="553"/>
    </row>
    <row r="2021" spans="14:19" ht="27.95" customHeight="1">
      <c r="N2021" s="553"/>
      <c r="O2021" s="553"/>
      <c r="P2021" s="553"/>
      <c r="Q2021" s="553"/>
      <c r="R2021" s="553"/>
      <c r="S2021" s="553"/>
    </row>
    <row r="2022" spans="14:19" ht="27.95" customHeight="1">
      <c r="N2022" s="553"/>
      <c r="O2022" s="553"/>
      <c r="P2022" s="553"/>
      <c r="Q2022" s="553"/>
      <c r="R2022" s="553"/>
      <c r="S2022" s="553"/>
    </row>
    <row r="2023" spans="14:19" ht="27.95" customHeight="1">
      <c r="N2023" s="553"/>
      <c r="O2023" s="553"/>
      <c r="P2023" s="553"/>
      <c r="Q2023" s="553"/>
      <c r="R2023" s="553"/>
      <c r="S2023" s="553"/>
    </row>
    <row r="2024" spans="14:19" ht="27.95" customHeight="1">
      <c r="N2024" s="553"/>
      <c r="O2024" s="553"/>
      <c r="P2024" s="553"/>
      <c r="Q2024" s="553"/>
      <c r="R2024" s="553"/>
      <c r="S2024" s="553"/>
    </row>
    <row r="2025" spans="14:19" ht="27.95" customHeight="1">
      <c r="N2025" s="553"/>
      <c r="O2025" s="553"/>
      <c r="P2025" s="553"/>
      <c r="Q2025" s="553"/>
      <c r="R2025" s="553"/>
      <c r="S2025" s="553"/>
    </row>
    <row r="2026" spans="14:19" ht="27.95" customHeight="1">
      <c r="N2026" s="553"/>
      <c r="O2026" s="553"/>
      <c r="P2026" s="553"/>
      <c r="Q2026" s="553"/>
      <c r="R2026" s="553"/>
      <c r="S2026" s="553"/>
    </row>
    <row r="2027" spans="14:19" ht="27.95" customHeight="1">
      <c r="N2027" s="553"/>
      <c r="O2027" s="553"/>
      <c r="P2027" s="553"/>
      <c r="Q2027" s="553"/>
      <c r="R2027" s="553"/>
      <c r="S2027" s="553"/>
    </row>
    <row r="2028" spans="14:19" ht="27.95" customHeight="1">
      <c r="N2028" s="553"/>
      <c r="O2028" s="553"/>
      <c r="P2028" s="553"/>
      <c r="Q2028" s="553"/>
      <c r="R2028" s="553"/>
      <c r="S2028" s="553"/>
    </row>
    <row r="2029" spans="14:19" ht="27.95" customHeight="1">
      <c r="N2029" s="553"/>
      <c r="O2029" s="553"/>
      <c r="P2029" s="553"/>
      <c r="Q2029" s="553"/>
      <c r="R2029" s="553"/>
      <c r="S2029" s="553"/>
    </row>
    <row r="2030" spans="14:19" ht="27.95" customHeight="1">
      <c r="N2030" s="553"/>
      <c r="O2030" s="553"/>
      <c r="P2030" s="553"/>
      <c r="Q2030" s="553"/>
      <c r="R2030" s="553"/>
      <c r="S2030" s="553"/>
    </row>
    <row r="2031" spans="14:19" ht="27.95" customHeight="1">
      <c r="N2031" s="553"/>
      <c r="O2031" s="553"/>
      <c r="P2031" s="553"/>
      <c r="Q2031" s="553"/>
      <c r="R2031" s="553"/>
      <c r="S2031" s="553"/>
    </row>
    <row r="2032" spans="14:19" ht="27.95" customHeight="1">
      <c r="N2032" s="553"/>
      <c r="O2032" s="553"/>
      <c r="P2032" s="553"/>
      <c r="Q2032" s="553"/>
      <c r="R2032" s="553"/>
      <c r="S2032" s="553"/>
    </row>
    <row r="2033" spans="14:19" ht="27.95" customHeight="1">
      <c r="N2033" s="553"/>
      <c r="O2033" s="553"/>
      <c r="P2033" s="553"/>
      <c r="Q2033" s="553"/>
      <c r="R2033" s="553"/>
      <c r="S2033" s="553"/>
    </row>
    <row r="2034" spans="14:19" ht="27.95" customHeight="1">
      <c r="N2034" s="553"/>
      <c r="O2034" s="553"/>
      <c r="P2034" s="553"/>
      <c r="Q2034" s="553"/>
      <c r="R2034" s="553"/>
      <c r="S2034" s="553"/>
    </row>
    <row r="2035" spans="14:19" ht="27.95" customHeight="1">
      <c r="N2035" s="553"/>
      <c r="O2035" s="553"/>
      <c r="P2035" s="553"/>
      <c r="Q2035" s="553"/>
      <c r="R2035" s="553"/>
      <c r="S2035" s="553"/>
    </row>
    <row r="2036" spans="14:19" ht="27.95" customHeight="1">
      <c r="N2036" s="553"/>
      <c r="O2036" s="553"/>
      <c r="P2036" s="553"/>
      <c r="Q2036" s="553"/>
      <c r="R2036" s="553"/>
      <c r="S2036" s="553"/>
    </row>
    <row r="2037" spans="14:19" ht="27.95" customHeight="1">
      <c r="N2037" s="553"/>
      <c r="O2037" s="553"/>
      <c r="P2037" s="553"/>
      <c r="Q2037" s="553"/>
      <c r="R2037" s="553"/>
      <c r="S2037" s="553"/>
    </row>
    <row r="2038" spans="14:19" ht="27.95" customHeight="1">
      <c r="N2038" s="553"/>
      <c r="O2038" s="553"/>
      <c r="P2038" s="553"/>
      <c r="Q2038" s="553"/>
      <c r="R2038" s="553"/>
      <c r="S2038" s="553"/>
    </row>
    <row r="2039" spans="14:19" ht="27.95" customHeight="1">
      <c r="N2039" s="553"/>
      <c r="O2039" s="553"/>
      <c r="P2039" s="553"/>
      <c r="Q2039" s="553"/>
      <c r="R2039" s="553"/>
      <c r="S2039" s="553"/>
    </row>
    <row r="2040" spans="14:19" ht="27.95" customHeight="1">
      <c r="N2040" s="553"/>
      <c r="O2040" s="553"/>
      <c r="P2040" s="553"/>
      <c r="Q2040" s="553"/>
      <c r="R2040" s="553"/>
      <c r="S2040" s="553"/>
    </row>
    <row r="2041" spans="14:19" ht="27.95" customHeight="1">
      <c r="N2041" s="553"/>
      <c r="O2041" s="553"/>
      <c r="P2041" s="553"/>
      <c r="Q2041" s="553"/>
      <c r="R2041" s="553"/>
      <c r="S2041" s="553"/>
    </row>
    <row r="2042" spans="14:19" ht="27.95" customHeight="1">
      <c r="N2042" s="553"/>
      <c r="O2042" s="553"/>
      <c r="P2042" s="553"/>
      <c r="Q2042" s="553"/>
      <c r="R2042" s="553"/>
      <c r="S2042" s="553"/>
    </row>
    <row r="2043" spans="14:19" ht="27.95" customHeight="1">
      <c r="N2043" s="553"/>
      <c r="O2043" s="553"/>
      <c r="P2043" s="553"/>
      <c r="Q2043" s="553"/>
      <c r="R2043" s="553"/>
      <c r="S2043" s="553"/>
    </row>
    <row r="2044" spans="14:19" ht="27.95" customHeight="1">
      <c r="N2044" s="553"/>
      <c r="O2044" s="553"/>
      <c r="P2044" s="553"/>
      <c r="Q2044" s="553"/>
      <c r="R2044" s="553"/>
      <c r="S2044" s="553"/>
    </row>
    <row r="2045" spans="14:19" ht="27.95" customHeight="1">
      <c r="N2045" s="553"/>
      <c r="O2045" s="553"/>
      <c r="P2045" s="553"/>
      <c r="Q2045" s="553"/>
      <c r="R2045" s="553"/>
      <c r="S2045" s="553"/>
    </row>
    <row r="2046" spans="14:19" ht="27.95" customHeight="1">
      <c r="N2046" s="553"/>
      <c r="O2046" s="553"/>
      <c r="P2046" s="553"/>
      <c r="Q2046" s="553"/>
      <c r="R2046" s="553"/>
      <c r="S2046" s="553"/>
    </row>
    <row r="2047" spans="14:19" ht="27.95" customHeight="1">
      <c r="N2047" s="553"/>
      <c r="O2047" s="553"/>
      <c r="P2047" s="553"/>
      <c r="Q2047" s="553"/>
      <c r="R2047" s="553"/>
      <c r="S2047" s="553"/>
    </row>
    <row r="2048" spans="14:19" ht="27.95" customHeight="1">
      <c r="N2048" s="553"/>
      <c r="O2048" s="553"/>
      <c r="P2048" s="553"/>
      <c r="Q2048" s="553"/>
      <c r="R2048" s="553"/>
      <c r="S2048" s="553"/>
    </row>
    <row r="2049" spans="14:19" ht="27.95" customHeight="1">
      <c r="N2049" s="553"/>
      <c r="O2049" s="553"/>
      <c r="P2049" s="553"/>
      <c r="Q2049" s="553"/>
      <c r="R2049" s="553"/>
      <c r="S2049" s="553"/>
    </row>
    <row r="2050" spans="14:19" ht="27.95" customHeight="1">
      <c r="N2050" s="553"/>
      <c r="O2050" s="553"/>
      <c r="P2050" s="553"/>
      <c r="Q2050" s="553"/>
      <c r="R2050" s="553"/>
      <c r="S2050" s="553"/>
    </row>
    <row r="2051" spans="14:19" ht="27.95" customHeight="1">
      <c r="N2051" s="553"/>
      <c r="O2051" s="553"/>
      <c r="P2051" s="553"/>
      <c r="Q2051" s="553"/>
      <c r="R2051" s="553"/>
      <c r="S2051" s="553"/>
    </row>
    <row r="2052" spans="14:19" ht="27.95" customHeight="1">
      <c r="N2052" s="553"/>
      <c r="O2052" s="553"/>
      <c r="P2052" s="553"/>
      <c r="Q2052" s="553"/>
      <c r="R2052" s="553"/>
      <c r="S2052" s="553"/>
    </row>
    <row r="2053" spans="14:19" ht="27.95" customHeight="1">
      <c r="N2053" s="553"/>
      <c r="O2053" s="553"/>
      <c r="P2053" s="553"/>
      <c r="Q2053" s="553"/>
      <c r="R2053" s="553"/>
      <c r="S2053" s="553"/>
    </row>
    <row r="2054" spans="14:19" ht="27.95" customHeight="1">
      <c r="N2054" s="553"/>
      <c r="O2054" s="553"/>
      <c r="P2054" s="553"/>
      <c r="Q2054" s="553"/>
      <c r="R2054" s="553"/>
      <c r="S2054" s="553"/>
    </row>
    <row r="2055" spans="14:19" ht="27.95" customHeight="1">
      <c r="N2055" s="553"/>
      <c r="O2055" s="553"/>
      <c r="P2055" s="553"/>
      <c r="Q2055" s="553"/>
      <c r="R2055" s="553"/>
      <c r="S2055" s="553"/>
    </row>
    <row r="2056" spans="14:19" ht="27.95" customHeight="1">
      <c r="N2056" s="553"/>
      <c r="O2056" s="553"/>
      <c r="P2056" s="553"/>
      <c r="Q2056" s="553"/>
      <c r="R2056" s="553"/>
      <c r="S2056" s="553"/>
    </row>
    <row r="2057" spans="14:19" ht="27.95" customHeight="1">
      <c r="N2057" s="553"/>
      <c r="O2057" s="553"/>
      <c r="P2057" s="553"/>
      <c r="Q2057" s="553"/>
      <c r="R2057" s="553"/>
      <c r="S2057" s="553"/>
    </row>
    <row r="2058" spans="14:19" ht="27.95" customHeight="1">
      <c r="N2058" s="553"/>
      <c r="O2058" s="553"/>
      <c r="P2058" s="553"/>
      <c r="Q2058" s="553"/>
      <c r="R2058" s="553"/>
      <c r="S2058" s="553"/>
    </row>
    <row r="2059" spans="14:19" ht="27.95" customHeight="1">
      <c r="N2059" s="553"/>
      <c r="O2059" s="553"/>
      <c r="P2059" s="553"/>
      <c r="Q2059" s="553"/>
      <c r="R2059" s="553"/>
      <c r="S2059" s="553"/>
    </row>
    <row r="2060" spans="14:19" ht="27.95" customHeight="1">
      <c r="N2060" s="553"/>
      <c r="O2060" s="553"/>
      <c r="P2060" s="553"/>
      <c r="Q2060" s="553"/>
      <c r="R2060" s="553"/>
      <c r="S2060" s="553"/>
    </row>
    <row r="2061" spans="14:19" ht="27.95" customHeight="1">
      <c r="N2061" s="553"/>
      <c r="O2061" s="553"/>
      <c r="P2061" s="553"/>
      <c r="Q2061" s="553"/>
      <c r="R2061" s="553"/>
      <c r="S2061" s="553"/>
    </row>
    <row r="2062" spans="14:19" ht="27.95" customHeight="1">
      <c r="N2062" s="553"/>
      <c r="O2062" s="553"/>
      <c r="P2062" s="553"/>
      <c r="Q2062" s="553"/>
      <c r="R2062" s="553"/>
      <c r="S2062" s="553"/>
    </row>
    <row r="2063" spans="14:19" ht="27.95" customHeight="1">
      <c r="N2063" s="553"/>
      <c r="O2063" s="553"/>
      <c r="P2063" s="553"/>
      <c r="Q2063" s="553"/>
      <c r="R2063" s="553"/>
      <c r="S2063" s="553"/>
    </row>
    <row r="2064" spans="14:19" ht="27.95" customHeight="1">
      <c r="N2064" s="553"/>
      <c r="O2064" s="553"/>
      <c r="P2064" s="553"/>
      <c r="Q2064" s="553"/>
      <c r="R2064" s="553"/>
      <c r="S2064" s="553"/>
    </row>
    <row r="2065" spans="14:19" ht="27.95" customHeight="1">
      <c r="N2065" s="553"/>
      <c r="O2065" s="553"/>
      <c r="P2065" s="553"/>
      <c r="Q2065" s="553"/>
      <c r="R2065" s="553"/>
      <c r="S2065" s="553"/>
    </row>
    <row r="2066" spans="14:19" ht="27.95" customHeight="1">
      <c r="N2066" s="553"/>
      <c r="O2066" s="553"/>
      <c r="P2066" s="553"/>
      <c r="Q2066" s="553"/>
      <c r="R2066" s="553"/>
      <c r="S2066" s="553"/>
    </row>
    <row r="2067" spans="14:19" ht="27.95" customHeight="1">
      <c r="N2067" s="553"/>
      <c r="O2067" s="553"/>
      <c r="P2067" s="553"/>
      <c r="Q2067" s="553"/>
      <c r="R2067" s="553"/>
      <c r="S2067" s="553"/>
    </row>
    <row r="2068" spans="14:19" ht="27.95" customHeight="1">
      <c r="N2068" s="553"/>
      <c r="O2068" s="553"/>
      <c r="P2068" s="553"/>
      <c r="Q2068" s="553"/>
      <c r="R2068" s="553"/>
      <c r="S2068" s="553"/>
    </row>
    <row r="2069" spans="14:19" ht="27.95" customHeight="1">
      <c r="N2069" s="553"/>
      <c r="O2069" s="553"/>
      <c r="P2069" s="553"/>
      <c r="Q2069" s="553"/>
      <c r="R2069" s="553"/>
      <c r="S2069" s="553"/>
    </row>
    <row r="2070" spans="14:19" ht="27.95" customHeight="1">
      <c r="N2070" s="553"/>
      <c r="O2070" s="553"/>
      <c r="P2070" s="553"/>
      <c r="Q2070" s="553"/>
      <c r="R2070" s="553"/>
      <c r="S2070" s="553"/>
    </row>
    <row r="2071" spans="14:19" ht="27.95" customHeight="1">
      <c r="N2071" s="553"/>
      <c r="O2071" s="553"/>
      <c r="P2071" s="553"/>
      <c r="Q2071" s="553"/>
      <c r="R2071" s="553"/>
      <c r="S2071" s="553"/>
    </row>
    <row r="2072" spans="14:19" ht="27.95" customHeight="1">
      <c r="N2072" s="553"/>
      <c r="O2072" s="553"/>
      <c r="P2072" s="553"/>
      <c r="Q2072" s="553"/>
      <c r="R2072" s="553"/>
      <c r="S2072" s="553"/>
    </row>
    <row r="2073" spans="14:19" ht="27.95" customHeight="1">
      <c r="N2073" s="553"/>
      <c r="O2073" s="553"/>
      <c r="P2073" s="553"/>
      <c r="Q2073" s="553"/>
      <c r="R2073" s="553"/>
      <c r="S2073" s="553"/>
    </row>
    <row r="2074" spans="14:19" ht="27.95" customHeight="1">
      <c r="N2074" s="553"/>
      <c r="O2074" s="553"/>
      <c r="P2074" s="553"/>
      <c r="Q2074" s="553"/>
      <c r="R2074" s="553"/>
      <c r="S2074" s="553"/>
    </row>
    <row r="2075" spans="14:19" ht="27.95" customHeight="1">
      <c r="N2075" s="553"/>
      <c r="O2075" s="553"/>
      <c r="P2075" s="553"/>
      <c r="Q2075" s="553"/>
      <c r="R2075" s="553"/>
      <c r="S2075" s="553"/>
    </row>
    <row r="2076" spans="14:19" ht="27.95" customHeight="1">
      <c r="N2076" s="553"/>
      <c r="O2076" s="553"/>
      <c r="P2076" s="553"/>
      <c r="Q2076" s="553"/>
      <c r="R2076" s="553"/>
      <c r="S2076" s="553"/>
    </row>
    <row r="2077" spans="14:19" ht="27.95" customHeight="1">
      <c r="N2077" s="553"/>
      <c r="O2077" s="553"/>
      <c r="P2077" s="553"/>
      <c r="Q2077" s="553"/>
      <c r="R2077" s="553"/>
      <c r="S2077" s="553"/>
    </row>
    <row r="2078" spans="14:19" ht="27.95" customHeight="1">
      <c r="N2078" s="553"/>
      <c r="O2078" s="553"/>
      <c r="P2078" s="553"/>
      <c r="Q2078" s="553"/>
      <c r="R2078" s="553"/>
      <c r="S2078" s="553"/>
    </row>
    <row r="2079" spans="14:19" ht="27.95" customHeight="1">
      <c r="N2079" s="553"/>
      <c r="O2079" s="553"/>
      <c r="P2079" s="553"/>
      <c r="Q2079" s="553"/>
      <c r="R2079" s="553"/>
      <c r="S2079" s="553"/>
    </row>
    <row r="2080" spans="14:19" ht="27.95" customHeight="1">
      <c r="N2080" s="553"/>
      <c r="O2080" s="553"/>
      <c r="P2080" s="553"/>
      <c r="Q2080" s="553"/>
      <c r="R2080" s="553"/>
      <c r="S2080" s="553"/>
    </row>
    <row r="2081" spans="14:19" ht="27.95" customHeight="1">
      <c r="N2081" s="553"/>
      <c r="O2081" s="553"/>
      <c r="P2081" s="553"/>
      <c r="Q2081" s="553"/>
      <c r="R2081" s="553"/>
      <c r="S2081" s="553"/>
    </row>
    <row r="2082" spans="14:19" ht="27.95" customHeight="1">
      <c r="N2082" s="553"/>
      <c r="O2082" s="553"/>
      <c r="P2082" s="553"/>
      <c r="Q2082" s="553"/>
      <c r="R2082" s="553"/>
      <c r="S2082" s="553"/>
    </row>
    <row r="2083" spans="14:19" ht="27.95" customHeight="1">
      <c r="N2083" s="553"/>
      <c r="O2083" s="553"/>
      <c r="P2083" s="553"/>
      <c r="Q2083" s="553"/>
      <c r="R2083" s="553"/>
      <c r="S2083" s="553"/>
    </row>
    <row r="2084" spans="14:19" ht="27.95" customHeight="1">
      <c r="N2084" s="553"/>
      <c r="O2084" s="553"/>
      <c r="P2084" s="553"/>
      <c r="Q2084" s="553"/>
      <c r="R2084" s="553"/>
      <c r="S2084" s="553"/>
    </row>
    <row r="2085" spans="14:19" ht="27.95" customHeight="1">
      <c r="N2085" s="553"/>
      <c r="O2085" s="553"/>
      <c r="P2085" s="553"/>
      <c r="Q2085" s="553"/>
      <c r="R2085" s="553"/>
      <c r="S2085" s="553"/>
    </row>
    <row r="2086" spans="14:19" ht="27.95" customHeight="1">
      <c r="N2086" s="553"/>
      <c r="O2086" s="553"/>
      <c r="P2086" s="553"/>
      <c r="Q2086" s="553"/>
      <c r="R2086" s="553"/>
      <c r="S2086" s="553"/>
    </row>
    <row r="2087" spans="14:19" ht="27.95" customHeight="1">
      <c r="N2087" s="553"/>
      <c r="O2087" s="553"/>
      <c r="P2087" s="553"/>
      <c r="Q2087" s="553"/>
      <c r="R2087" s="553"/>
      <c r="S2087" s="553"/>
    </row>
    <row r="2088" spans="14:19" ht="27.95" customHeight="1">
      <c r="N2088" s="553"/>
      <c r="O2088" s="553"/>
      <c r="P2088" s="553"/>
      <c r="Q2088" s="553"/>
      <c r="R2088" s="553"/>
      <c r="S2088" s="553"/>
    </row>
    <row r="2089" spans="14:19" ht="27.95" customHeight="1">
      <c r="N2089" s="553"/>
      <c r="O2089" s="553"/>
      <c r="P2089" s="553"/>
      <c r="Q2089" s="553"/>
      <c r="R2089" s="553"/>
      <c r="S2089" s="553"/>
    </row>
    <row r="2090" spans="14:19" ht="27.95" customHeight="1">
      <c r="N2090" s="553"/>
      <c r="O2090" s="553"/>
      <c r="P2090" s="553"/>
      <c r="Q2090" s="553"/>
      <c r="R2090" s="553"/>
      <c r="S2090" s="553"/>
    </row>
    <row r="2091" spans="14:19" ht="27.95" customHeight="1">
      <c r="N2091" s="553"/>
      <c r="O2091" s="553"/>
      <c r="P2091" s="553"/>
      <c r="Q2091" s="553"/>
      <c r="R2091" s="553"/>
      <c r="S2091" s="553"/>
    </row>
    <row r="2092" spans="14:19" ht="27.95" customHeight="1">
      <c r="N2092" s="553"/>
      <c r="O2092" s="553"/>
      <c r="P2092" s="553"/>
      <c r="Q2092" s="553"/>
      <c r="R2092" s="553"/>
      <c r="S2092" s="553"/>
    </row>
    <row r="2093" spans="14:19" ht="27.95" customHeight="1">
      <c r="N2093" s="553"/>
      <c r="O2093" s="553"/>
      <c r="P2093" s="553"/>
      <c r="Q2093" s="553"/>
      <c r="R2093" s="553"/>
      <c r="S2093" s="553"/>
    </row>
    <row r="2094" spans="14:19" ht="27.95" customHeight="1">
      <c r="N2094" s="553"/>
      <c r="O2094" s="553"/>
      <c r="P2094" s="553"/>
      <c r="Q2094" s="553"/>
      <c r="R2094" s="553"/>
      <c r="S2094" s="553"/>
    </row>
    <row r="2095" spans="14:19" ht="27.95" customHeight="1">
      <c r="N2095" s="553"/>
      <c r="O2095" s="553"/>
      <c r="P2095" s="553"/>
      <c r="Q2095" s="553"/>
      <c r="R2095" s="553"/>
      <c r="S2095" s="553"/>
    </row>
    <row r="2096" spans="14:19" ht="27.95" customHeight="1">
      <c r="N2096" s="553"/>
      <c r="O2096" s="553"/>
      <c r="P2096" s="553"/>
      <c r="Q2096" s="553"/>
      <c r="R2096" s="553"/>
      <c r="S2096" s="553"/>
    </row>
    <row r="2097" spans="14:19" ht="27.95" customHeight="1">
      <c r="N2097" s="553"/>
      <c r="O2097" s="553"/>
      <c r="P2097" s="553"/>
      <c r="Q2097" s="553"/>
      <c r="R2097" s="553"/>
      <c r="S2097" s="553"/>
    </row>
    <row r="2098" spans="14:19" ht="27.95" customHeight="1">
      <c r="N2098" s="553"/>
      <c r="O2098" s="553"/>
      <c r="P2098" s="553"/>
      <c r="Q2098" s="553"/>
      <c r="R2098" s="553"/>
      <c r="S2098" s="553"/>
    </row>
    <row r="2099" spans="14:19" ht="27.95" customHeight="1">
      <c r="N2099" s="553"/>
      <c r="O2099" s="553"/>
      <c r="P2099" s="553"/>
      <c r="Q2099" s="553"/>
      <c r="R2099" s="553"/>
      <c r="S2099" s="553"/>
    </row>
    <row r="2100" spans="14:19" ht="27.95" customHeight="1">
      <c r="N2100" s="553"/>
      <c r="O2100" s="553"/>
      <c r="P2100" s="553"/>
      <c r="Q2100" s="553"/>
      <c r="R2100" s="553"/>
      <c r="S2100" s="553"/>
    </row>
    <row r="2101" spans="14:19" ht="27.95" customHeight="1">
      <c r="N2101" s="553"/>
      <c r="O2101" s="553"/>
      <c r="P2101" s="553"/>
      <c r="Q2101" s="553"/>
      <c r="R2101" s="553"/>
      <c r="S2101" s="553"/>
    </row>
    <row r="2102" spans="14:19" ht="27.95" customHeight="1">
      <c r="N2102" s="553"/>
      <c r="O2102" s="553"/>
      <c r="P2102" s="553"/>
      <c r="Q2102" s="553"/>
      <c r="R2102" s="553"/>
      <c r="S2102" s="553"/>
    </row>
    <row r="2103" spans="14:19" ht="27.95" customHeight="1">
      <c r="N2103" s="553"/>
      <c r="O2103" s="553"/>
      <c r="P2103" s="553"/>
      <c r="Q2103" s="553"/>
      <c r="R2103" s="553"/>
      <c r="S2103" s="553"/>
    </row>
    <row r="2104" spans="14:19" ht="27.95" customHeight="1">
      <c r="N2104" s="553"/>
      <c r="O2104" s="553"/>
      <c r="P2104" s="553"/>
      <c r="Q2104" s="553"/>
      <c r="R2104" s="553"/>
      <c r="S2104" s="553"/>
    </row>
    <row r="2105" spans="14:19" ht="27.95" customHeight="1">
      <c r="N2105" s="553"/>
      <c r="O2105" s="553"/>
      <c r="P2105" s="553"/>
      <c r="Q2105" s="553"/>
      <c r="R2105" s="553"/>
      <c r="S2105" s="553"/>
    </row>
    <row r="2106" spans="14:19" ht="27.95" customHeight="1">
      <c r="N2106" s="553"/>
      <c r="O2106" s="553"/>
      <c r="P2106" s="553"/>
      <c r="Q2106" s="553"/>
      <c r="R2106" s="553"/>
      <c r="S2106" s="553"/>
    </row>
    <row r="2107" spans="14:19" ht="27.95" customHeight="1">
      <c r="N2107" s="553"/>
      <c r="O2107" s="553"/>
      <c r="P2107" s="553"/>
      <c r="Q2107" s="553"/>
      <c r="R2107" s="553"/>
      <c r="S2107" s="553"/>
    </row>
    <row r="2108" spans="14:19" ht="27.95" customHeight="1">
      <c r="N2108" s="553"/>
      <c r="O2108" s="553"/>
      <c r="P2108" s="553"/>
      <c r="Q2108" s="553"/>
      <c r="R2108" s="553"/>
      <c r="S2108" s="553"/>
    </row>
    <row r="2109" spans="14:19" ht="27.95" customHeight="1">
      <c r="N2109" s="553"/>
      <c r="O2109" s="553"/>
      <c r="P2109" s="553"/>
      <c r="Q2109" s="553"/>
      <c r="R2109" s="553"/>
      <c r="S2109" s="553"/>
    </row>
    <row r="2110" spans="14:19" ht="27.95" customHeight="1">
      <c r="N2110" s="553"/>
      <c r="O2110" s="553"/>
      <c r="P2110" s="553"/>
      <c r="Q2110" s="553"/>
      <c r="R2110" s="553"/>
      <c r="S2110" s="553"/>
    </row>
    <row r="2111" spans="14:19" ht="27.95" customHeight="1">
      <c r="N2111" s="553"/>
      <c r="O2111" s="553"/>
      <c r="P2111" s="553"/>
      <c r="Q2111" s="553"/>
      <c r="R2111" s="553"/>
      <c r="S2111" s="553"/>
    </row>
    <row r="2112" spans="14:19" ht="27.95" customHeight="1">
      <c r="N2112" s="553"/>
      <c r="O2112" s="553"/>
      <c r="P2112" s="553"/>
      <c r="Q2112" s="553"/>
      <c r="R2112" s="553"/>
      <c r="S2112" s="553"/>
    </row>
    <row r="2113" spans="14:19" ht="27.95" customHeight="1">
      <c r="N2113" s="553"/>
      <c r="O2113" s="553"/>
      <c r="P2113" s="553"/>
      <c r="Q2113" s="553"/>
      <c r="R2113" s="553"/>
      <c r="S2113" s="553"/>
    </row>
    <row r="2114" spans="14:19" ht="27.95" customHeight="1">
      <c r="N2114" s="553"/>
      <c r="O2114" s="553"/>
      <c r="P2114" s="553"/>
      <c r="Q2114" s="553"/>
      <c r="R2114" s="553"/>
      <c r="S2114" s="553"/>
    </row>
    <row r="2115" spans="14:19" ht="27.95" customHeight="1">
      <c r="N2115" s="553"/>
      <c r="O2115" s="553"/>
      <c r="P2115" s="553"/>
      <c r="Q2115" s="553"/>
      <c r="R2115" s="553"/>
      <c r="S2115" s="553"/>
    </row>
    <row r="2116" spans="14:19" ht="27.95" customHeight="1">
      <c r="N2116" s="553"/>
      <c r="O2116" s="553"/>
      <c r="P2116" s="553"/>
      <c r="Q2116" s="553"/>
      <c r="R2116" s="553"/>
      <c r="S2116" s="553"/>
    </row>
    <row r="2117" spans="14:19" ht="27.95" customHeight="1">
      <c r="N2117" s="553"/>
      <c r="O2117" s="553"/>
      <c r="P2117" s="553"/>
      <c r="Q2117" s="553"/>
      <c r="R2117" s="553"/>
      <c r="S2117" s="553"/>
    </row>
    <row r="2118" spans="14:19" ht="27.95" customHeight="1">
      <c r="N2118" s="553"/>
      <c r="O2118" s="553"/>
      <c r="P2118" s="553"/>
      <c r="Q2118" s="553"/>
      <c r="R2118" s="553"/>
      <c r="S2118" s="553"/>
    </row>
    <row r="2119" spans="14:19" ht="27.95" customHeight="1">
      <c r="N2119" s="553"/>
      <c r="O2119" s="553"/>
      <c r="P2119" s="553"/>
      <c r="Q2119" s="553"/>
      <c r="R2119" s="553"/>
      <c r="S2119" s="553"/>
    </row>
    <row r="2120" spans="14:19" ht="27.95" customHeight="1">
      <c r="N2120" s="553"/>
      <c r="O2120" s="553"/>
      <c r="P2120" s="553"/>
      <c r="Q2120" s="553"/>
      <c r="R2120" s="553"/>
      <c r="S2120" s="553"/>
    </row>
    <row r="2121" spans="14:19" ht="27.95" customHeight="1">
      <c r="N2121" s="553"/>
      <c r="O2121" s="553"/>
      <c r="P2121" s="553"/>
      <c r="Q2121" s="553"/>
      <c r="R2121" s="553"/>
      <c r="S2121" s="553"/>
    </row>
    <row r="2122" spans="14:19" ht="27.95" customHeight="1">
      <c r="N2122" s="553"/>
      <c r="O2122" s="553"/>
      <c r="P2122" s="553"/>
      <c r="Q2122" s="553"/>
      <c r="R2122" s="553"/>
      <c r="S2122" s="553"/>
    </row>
    <row r="2123" spans="14:19" ht="27.95" customHeight="1">
      <c r="N2123" s="553"/>
      <c r="O2123" s="553"/>
      <c r="P2123" s="553"/>
      <c r="Q2123" s="553"/>
      <c r="R2123" s="553"/>
      <c r="S2123" s="553"/>
    </row>
    <row r="2124" spans="14:19" ht="27.95" customHeight="1">
      <c r="N2124" s="553"/>
      <c r="O2124" s="553"/>
      <c r="P2124" s="553"/>
      <c r="Q2124" s="553"/>
      <c r="R2124" s="553"/>
      <c r="S2124" s="553"/>
    </row>
    <row r="2125" spans="14:19" ht="27.95" customHeight="1">
      <c r="N2125" s="553"/>
      <c r="O2125" s="553"/>
      <c r="P2125" s="553"/>
      <c r="Q2125" s="553"/>
      <c r="R2125" s="553"/>
      <c r="S2125" s="553"/>
    </row>
    <row r="2126" spans="14:19" ht="27.95" customHeight="1">
      <c r="N2126" s="553"/>
      <c r="O2126" s="553"/>
      <c r="P2126" s="553"/>
      <c r="Q2126" s="553"/>
      <c r="R2126" s="553"/>
      <c r="S2126" s="553"/>
    </row>
    <row r="2127" spans="14:19" ht="27.95" customHeight="1">
      <c r="N2127" s="553"/>
      <c r="O2127" s="553"/>
      <c r="P2127" s="553"/>
      <c r="Q2127" s="553"/>
      <c r="R2127" s="553"/>
      <c r="S2127" s="553"/>
    </row>
    <row r="2128" spans="14:19" ht="27.95" customHeight="1">
      <c r="N2128" s="553"/>
      <c r="O2128" s="553"/>
      <c r="P2128" s="553"/>
      <c r="Q2128" s="553"/>
      <c r="R2128" s="553"/>
      <c r="S2128" s="553"/>
    </row>
    <row r="2129" spans="14:19" ht="27.95" customHeight="1">
      <c r="N2129" s="553"/>
      <c r="O2129" s="553"/>
      <c r="P2129" s="553"/>
      <c r="Q2129" s="553"/>
      <c r="R2129" s="553"/>
      <c r="S2129" s="553"/>
    </row>
    <row r="2130" spans="14:19" ht="27.95" customHeight="1">
      <c r="N2130" s="553"/>
      <c r="O2130" s="553"/>
      <c r="P2130" s="553"/>
      <c r="Q2130" s="553"/>
      <c r="R2130" s="553"/>
      <c r="S2130" s="553"/>
    </row>
    <row r="2131" spans="14:19" ht="27.95" customHeight="1">
      <c r="N2131" s="553"/>
      <c r="O2131" s="553"/>
      <c r="P2131" s="553"/>
      <c r="Q2131" s="553"/>
      <c r="R2131" s="553"/>
      <c r="S2131" s="553"/>
    </row>
    <row r="2132" spans="14:19" ht="27.95" customHeight="1">
      <c r="N2132" s="553"/>
      <c r="O2132" s="553"/>
      <c r="P2132" s="553"/>
      <c r="Q2132" s="553"/>
      <c r="R2132" s="553"/>
      <c r="S2132" s="553"/>
    </row>
    <row r="2133" spans="14:19" ht="27.95" customHeight="1">
      <c r="N2133" s="553"/>
      <c r="O2133" s="553"/>
      <c r="P2133" s="553"/>
      <c r="Q2133" s="553"/>
      <c r="R2133" s="553"/>
      <c r="S2133" s="553"/>
    </row>
    <row r="2134" spans="14:19" ht="27.95" customHeight="1">
      <c r="N2134" s="553"/>
      <c r="O2134" s="553"/>
      <c r="P2134" s="553"/>
      <c r="Q2134" s="553"/>
      <c r="R2134" s="553"/>
      <c r="S2134" s="553"/>
    </row>
    <row r="2135" spans="14:19" ht="27.95" customHeight="1">
      <c r="N2135" s="553"/>
      <c r="O2135" s="553"/>
      <c r="P2135" s="553"/>
      <c r="Q2135" s="553"/>
      <c r="R2135" s="553"/>
      <c r="S2135" s="553"/>
    </row>
    <row r="2136" spans="14:19" ht="27.95" customHeight="1">
      <c r="N2136" s="553"/>
      <c r="O2136" s="553"/>
      <c r="P2136" s="553"/>
      <c r="Q2136" s="553"/>
      <c r="R2136" s="553"/>
      <c r="S2136" s="553"/>
    </row>
    <row r="2137" spans="14:19" ht="27.95" customHeight="1">
      <c r="N2137" s="553"/>
      <c r="O2137" s="553"/>
      <c r="P2137" s="553"/>
      <c r="Q2137" s="553"/>
      <c r="R2137" s="553"/>
      <c r="S2137" s="553"/>
    </row>
    <row r="2138" spans="14:19" ht="27.95" customHeight="1">
      <c r="N2138" s="553"/>
      <c r="O2138" s="553"/>
      <c r="P2138" s="553"/>
      <c r="Q2138" s="553"/>
      <c r="R2138" s="553"/>
      <c r="S2138" s="553"/>
    </row>
    <row r="2139" spans="14:19" ht="27.95" customHeight="1">
      <c r="N2139" s="553"/>
      <c r="O2139" s="553"/>
      <c r="P2139" s="553"/>
      <c r="Q2139" s="553"/>
      <c r="R2139" s="553"/>
      <c r="S2139" s="553"/>
    </row>
    <row r="2140" spans="14:19" ht="27.95" customHeight="1">
      <c r="N2140" s="553"/>
      <c r="O2140" s="553"/>
      <c r="P2140" s="553"/>
      <c r="Q2140" s="553"/>
      <c r="R2140" s="553"/>
      <c r="S2140" s="553"/>
    </row>
    <row r="2141" spans="14:19" ht="27.95" customHeight="1">
      <c r="N2141" s="553"/>
      <c r="O2141" s="553"/>
      <c r="P2141" s="553"/>
      <c r="Q2141" s="553"/>
      <c r="R2141" s="553"/>
      <c r="S2141" s="553"/>
    </row>
    <row r="2142" spans="14:19" ht="27.95" customHeight="1">
      <c r="N2142" s="553"/>
      <c r="O2142" s="553"/>
      <c r="P2142" s="553"/>
      <c r="Q2142" s="553"/>
      <c r="R2142" s="553"/>
      <c r="S2142" s="553"/>
    </row>
    <row r="2143" spans="14:19" ht="27.95" customHeight="1">
      <c r="N2143" s="553"/>
      <c r="O2143" s="553"/>
      <c r="P2143" s="553"/>
      <c r="Q2143" s="553"/>
      <c r="R2143" s="553"/>
      <c r="S2143" s="553"/>
    </row>
    <row r="2144" spans="14:19" ht="27.95" customHeight="1">
      <c r="N2144" s="553"/>
      <c r="O2144" s="553"/>
      <c r="P2144" s="553"/>
      <c r="Q2144" s="553"/>
      <c r="R2144" s="553"/>
      <c r="S2144" s="553"/>
    </row>
    <row r="2145" spans="14:19" ht="27.95" customHeight="1">
      <c r="N2145" s="553"/>
      <c r="O2145" s="553"/>
      <c r="P2145" s="553"/>
      <c r="Q2145" s="553"/>
      <c r="R2145" s="553"/>
      <c r="S2145" s="553"/>
    </row>
    <row r="2146" spans="14:19" ht="27.95" customHeight="1">
      <c r="N2146" s="553"/>
      <c r="O2146" s="553"/>
      <c r="P2146" s="553"/>
      <c r="Q2146" s="553"/>
      <c r="R2146" s="553"/>
      <c r="S2146" s="553"/>
    </row>
    <row r="2147" spans="14:19" ht="27.95" customHeight="1">
      <c r="N2147" s="553"/>
      <c r="O2147" s="553"/>
      <c r="P2147" s="553"/>
      <c r="Q2147" s="553"/>
      <c r="R2147" s="553"/>
      <c r="S2147" s="553"/>
    </row>
    <row r="2148" spans="14:19" ht="27.95" customHeight="1">
      <c r="N2148" s="553"/>
      <c r="O2148" s="553"/>
      <c r="P2148" s="553"/>
      <c r="Q2148" s="553"/>
      <c r="R2148" s="553"/>
      <c r="S2148" s="553"/>
    </row>
    <row r="2149" spans="14:19" ht="27.95" customHeight="1">
      <c r="N2149" s="553"/>
      <c r="O2149" s="553"/>
      <c r="P2149" s="553"/>
      <c r="Q2149" s="553"/>
      <c r="R2149" s="553"/>
      <c r="S2149" s="553"/>
    </row>
    <row r="2150" spans="14:19" ht="27.95" customHeight="1">
      <c r="N2150" s="553"/>
      <c r="O2150" s="553"/>
      <c r="P2150" s="553"/>
      <c r="Q2150" s="553"/>
      <c r="R2150" s="553"/>
      <c r="S2150" s="553"/>
    </row>
    <row r="2151" spans="14:19" ht="27.95" customHeight="1">
      <c r="N2151" s="553"/>
      <c r="O2151" s="553"/>
      <c r="P2151" s="553"/>
      <c r="Q2151" s="553"/>
      <c r="R2151" s="553"/>
      <c r="S2151" s="553"/>
    </row>
    <row r="2152" spans="14:19" ht="27.95" customHeight="1">
      <c r="N2152" s="553"/>
      <c r="O2152" s="553"/>
      <c r="P2152" s="553"/>
      <c r="Q2152" s="553"/>
      <c r="R2152" s="553"/>
      <c r="S2152" s="553"/>
    </row>
    <row r="2153" spans="14:19" ht="27.95" customHeight="1">
      <c r="N2153" s="553"/>
      <c r="O2153" s="553"/>
      <c r="P2153" s="553"/>
      <c r="Q2153" s="553"/>
      <c r="R2153" s="553"/>
      <c r="S2153" s="553"/>
    </row>
    <row r="2154" spans="14:19" ht="27.95" customHeight="1">
      <c r="N2154" s="553"/>
      <c r="O2154" s="553"/>
      <c r="P2154" s="553"/>
      <c r="Q2154" s="553"/>
      <c r="R2154" s="553"/>
      <c r="S2154" s="553"/>
    </row>
    <row r="2155" spans="14:19" ht="27.95" customHeight="1">
      <c r="N2155" s="553"/>
      <c r="O2155" s="553"/>
      <c r="P2155" s="553"/>
      <c r="Q2155" s="553"/>
      <c r="R2155" s="553"/>
      <c r="S2155" s="553"/>
    </row>
    <row r="2156" spans="14:19" ht="27.95" customHeight="1">
      <c r="N2156" s="553"/>
      <c r="O2156" s="553"/>
      <c r="P2156" s="553"/>
      <c r="Q2156" s="553"/>
      <c r="R2156" s="553"/>
      <c r="S2156" s="553"/>
    </row>
    <row r="2157" spans="14:19" ht="27.95" customHeight="1">
      <c r="N2157" s="553"/>
      <c r="O2157" s="553"/>
      <c r="P2157" s="553"/>
      <c r="Q2157" s="553"/>
      <c r="R2157" s="553"/>
      <c r="S2157" s="553"/>
    </row>
    <row r="2158" spans="14:19" ht="27.95" customHeight="1">
      <c r="N2158" s="553"/>
      <c r="O2158" s="553"/>
      <c r="P2158" s="553"/>
      <c r="Q2158" s="553"/>
      <c r="R2158" s="553"/>
      <c r="S2158" s="553"/>
    </row>
    <row r="2159" spans="14:19" ht="27.95" customHeight="1">
      <c r="N2159" s="553"/>
      <c r="O2159" s="553"/>
      <c r="P2159" s="553"/>
      <c r="Q2159" s="553"/>
      <c r="R2159" s="553"/>
      <c r="S2159" s="553"/>
    </row>
    <row r="2160" spans="14:19" ht="27.95" customHeight="1">
      <c r="N2160" s="553"/>
      <c r="O2160" s="553"/>
      <c r="P2160" s="553"/>
      <c r="Q2160" s="553"/>
      <c r="R2160" s="553"/>
      <c r="S2160" s="553"/>
    </row>
    <row r="2161" spans="14:19" ht="27.95" customHeight="1">
      <c r="N2161" s="553"/>
      <c r="O2161" s="553"/>
      <c r="P2161" s="553"/>
      <c r="Q2161" s="553"/>
      <c r="R2161" s="553"/>
      <c r="S2161" s="553"/>
    </row>
    <row r="2162" spans="14:19" ht="27.95" customHeight="1">
      <c r="N2162" s="553"/>
      <c r="O2162" s="553"/>
      <c r="P2162" s="553"/>
      <c r="Q2162" s="553"/>
      <c r="R2162" s="553"/>
      <c r="S2162" s="553"/>
    </row>
    <row r="2163" spans="14:19" ht="27.95" customHeight="1">
      <c r="N2163" s="553"/>
      <c r="O2163" s="553"/>
      <c r="P2163" s="553"/>
      <c r="Q2163" s="553"/>
      <c r="R2163" s="553"/>
      <c r="S2163" s="553"/>
    </row>
    <row r="2164" spans="14:19" ht="27.95" customHeight="1">
      <c r="N2164" s="553"/>
      <c r="O2164" s="553"/>
      <c r="P2164" s="553"/>
      <c r="Q2164" s="553"/>
      <c r="R2164" s="553"/>
      <c r="S2164" s="553"/>
    </row>
    <row r="2165" spans="14:19" ht="27.95" customHeight="1">
      <c r="N2165" s="553"/>
      <c r="O2165" s="553"/>
      <c r="P2165" s="553"/>
      <c r="Q2165" s="553"/>
      <c r="R2165" s="553"/>
      <c r="S2165" s="553"/>
    </row>
    <row r="2166" spans="14:19" ht="27.95" customHeight="1">
      <c r="N2166" s="553"/>
      <c r="O2166" s="553"/>
      <c r="P2166" s="553"/>
      <c r="Q2166" s="553"/>
      <c r="R2166" s="553"/>
      <c r="S2166" s="553"/>
    </row>
    <row r="2167" spans="14:19" ht="27.95" customHeight="1">
      <c r="N2167" s="553"/>
      <c r="O2167" s="553"/>
      <c r="P2167" s="553"/>
      <c r="Q2167" s="553"/>
      <c r="R2167" s="553"/>
      <c r="S2167" s="553"/>
    </row>
    <row r="2168" spans="14:19" ht="27.95" customHeight="1">
      <c r="N2168" s="553"/>
      <c r="O2168" s="553"/>
      <c r="P2168" s="553"/>
      <c r="Q2168" s="553"/>
      <c r="R2168" s="553"/>
      <c r="S2168" s="553"/>
    </row>
    <row r="2169" spans="14:19" ht="27.95" customHeight="1">
      <c r="N2169" s="553"/>
      <c r="O2169" s="553"/>
      <c r="P2169" s="553"/>
      <c r="Q2169" s="553"/>
      <c r="R2169" s="553"/>
      <c r="S2169" s="553"/>
    </row>
    <row r="2170" spans="14:19" ht="27.95" customHeight="1">
      <c r="N2170" s="553"/>
      <c r="O2170" s="553"/>
      <c r="P2170" s="553"/>
      <c r="Q2170" s="553"/>
      <c r="R2170" s="553"/>
      <c r="S2170" s="553"/>
    </row>
    <row r="2171" spans="14:19" ht="27.95" customHeight="1">
      <c r="N2171" s="553"/>
      <c r="O2171" s="553"/>
      <c r="P2171" s="553"/>
      <c r="Q2171" s="553"/>
      <c r="R2171" s="553"/>
      <c r="S2171" s="553"/>
    </row>
    <row r="2172" spans="14:19" ht="27.95" customHeight="1">
      <c r="N2172" s="553"/>
      <c r="O2172" s="553"/>
      <c r="P2172" s="553"/>
      <c r="Q2172" s="553"/>
      <c r="R2172" s="553"/>
      <c r="S2172" s="553"/>
    </row>
    <row r="2173" spans="14:19" ht="27.95" customHeight="1">
      <c r="N2173" s="553"/>
      <c r="O2173" s="553"/>
      <c r="P2173" s="553"/>
      <c r="Q2173" s="553"/>
      <c r="R2173" s="553"/>
      <c r="S2173" s="553"/>
    </row>
    <row r="2174" spans="14:19" ht="27.95" customHeight="1">
      <c r="N2174" s="553"/>
      <c r="O2174" s="553"/>
      <c r="P2174" s="553"/>
      <c r="Q2174" s="553"/>
      <c r="R2174" s="553"/>
      <c r="S2174" s="553"/>
    </row>
    <row r="2175" spans="14:19" ht="27.95" customHeight="1">
      <c r="N2175" s="553"/>
      <c r="O2175" s="553"/>
      <c r="P2175" s="553"/>
      <c r="Q2175" s="553"/>
      <c r="R2175" s="553"/>
      <c r="S2175" s="553"/>
    </row>
    <row r="2176" spans="14:19" ht="27.95" customHeight="1">
      <c r="N2176" s="553"/>
      <c r="O2176" s="553"/>
      <c r="P2176" s="553"/>
      <c r="Q2176" s="553"/>
      <c r="R2176" s="553"/>
      <c r="S2176" s="553"/>
    </row>
    <row r="2177" spans="14:19" ht="27.95" customHeight="1">
      <c r="N2177" s="553"/>
      <c r="O2177" s="553"/>
      <c r="P2177" s="553"/>
      <c r="Q2177" s="553"/>
      <c r="R2177" s="553"/>
      <c r="S2177" s="553"/>
    </row>
    <row r="2178" spans="14:19" ht="27.95" customHeight="1">
      <c r="N2178" s="553"/>
      <c r="O2178" s="553"/>
      <c r="P2178" s="553"/>
      <c r="Q2178" s="553"/>
      <c r="R2178" s="553"/>
      <c r="S2178" s="553"/>
    </row>
    <row r="2179" spans="14:19" ht="27.95" customHeight="1">
      <c r="N2179" s="553"/>
      <c r="O2179" s="553"/>
      <c r="P2179" s="553"/>
      <c r="Q2179" s="553"/>
      <c r="R2179" s="553"/>
      <c r="S2179" s="553"/>
    </row>
    <row r="2180" spans="14:19" ht="27.95" customHeight="1">
      <c r="N2180" s="553"/>
      <c r="O2180" s="553"/>
      <c r="P2180" s="553"/>
      <c r="Q2180" s="553"/>
      <c r="R2180" s="553"/>
      <c r="S2180" s="553"/>
    </row>
    <row r="2181" spans="14:19" ht="27.95" customHeight="1">
      <c r="N2181" s="553"/>
      <c r="O2181" s="553"/>
      <c r="P2181" s="553"/>
      <c r="Q2181" s="553"/>
      <c r="R2181" s="553"/>
      <c r="S2181" s="553"/>
    </row>
    <row r="2182" spans="14:19" ht="27.95" customHeight="1">
      <c r="N2182" s="553"/>
      <c r="O2182" s="553"/>
      <c r="P2182" s="553"/>
      <c r="Q2182" s="553"/>
      <c r="R2182" s="553"/>
      <c r="S2182" s="553"/>
    </row>
    <row r="2183" spans="14:19" ht="27.95" customHeight="1">
      <c r="N2183" s="553"/>
      <c r="O2183" s="553"/>
      <c r="P2183" s="553"/>
      <c r="Q2183" s="553"/>
      <c r="R2183" s="553"/>
      <c r="S2183" s="553"/>
    </row>
    <row r="2184" spans="14:19" ht="27.95" customHeight="1">
      <c r="N2184" s="553"/>
      <c r="O2184" s="553"/>
      <c r="P2184" s="553"/>
      <c r="Q2184" s="553"/>
      <c r="R2184" s="553"/>
      <c r="S2184" s="553"/>
    </row>
    <row r="2185" spans="14:19" ht="27.95" customHeight="1">
      <c r="N2185" s="553"/>
      <c r="O2185" s="553"/>
      <c r="P2185" s="553"/>
      <c r="Q2185" s="553"/>
      <c r="R2185" s="553"/>
      <c r="S2185" s="553"/>
    </row>
    <row r="2186" spans="14:19" ht="27.95" customHeight="1">
      <c r="N2186" s="553"/>
      <c r="O2186" s="553"/>
      <c r="P2186" s="553"/>
      <c r="Q2186" s="553"/>
      <c r="R2186" s="553"/>
      <c r="S2186" s="553"/>
    </row>
    <row r="2187" spans="14:19" ht="27.95" customHeight="1">
      <c r="N2187" s="553"/>
      <c r="O2187" s="553"/>
      <c r="P2187" s="553"/>
      <c r="Q2187" s="553"/>
      <c r="R2187" s="553"/>
      <c r="S2187" s="553"/>
    </row>
    <row r="2188" spans="14:19" ht="27.95" customHeight="1">
      <c r="N2188" s="553"/>
      <c r="O2188" s="553"/>
      <c r="P2188" s="553"/>
      <c r="Q2188" s="553"/>
      <c r="R2188" s="553"/>
      <c r="S2188" s="553"/>
    </row>
    <row r="2189" spans="14:19" ht="27.95" customHeight="1">
      <c r="N2189" s="553"/>
      <c r="O2189" s="553"/>
      <c r="P2189" s="553"/>
      <c r="Q2189" s="553"/>
      <c r="R2189" s="553"/>
      <c r="S2189" s="553"/>
    </row>
    <row r="2190" spans="14:19" ht="27.95" customHeight="1">
      <c r="N2190" s="553"/>
      <c r="O2190" s="553"/>
      <c r="P2190" s="553"/>
      <c r="Q2190" s="553"/>
      <c r="R2190" s="553"/>
      <c r="S2190" s="553"/>
    </row>
    <row r="2191" spans="14:19" ht="27.95" customHeight="1">
      <c r="N2191" s="553"/>
      <c r="O2191" s="553"/>
      <c r="P2191" s="553"/>
      <c r="Q2191" s="553"/>
      <c r="R2191" s="553"/>
      <c r="S2191" s="553"/>
    </row>
    <row r="2192" spans="14:19" ht="27.95" customHeight="1">
      <c r="N2192" s="553"/>
      <c r="O2192" s="553"/>
      <c r="P2192" s="553"/>
      <c r="Q2192" s="553"/>
      <c r="R2192" s="553"/>
      <c r="S2192" s="553"/>
    </row>
    <row r="2193" spans="14:19" ht="27.95" customHeight="1">
      <c r="N2193" s="553"/>
      <c r="O2193" s="553"/>
      <c r="P2193" s="553"/>
      <c r="Q2193" s="553"/>
      <c r="R2193" s="553"/>
      <c r="S2193" s="553"/>
    </row>
    <row r="2194" spans="14:19" ht="27.95" customHeight="1">
      <c r="N2194" s="553"/>
      <c r="O2194" s="553"/>
      <c r="P2194" s="553"/>
      <c r="Q2194" s="553"/>
      <c r="R2194" s="553"/>
      <c r="S2194" s="553"/>
    </row>
    <row r="2195" spans="14:19" ht="27.95" customHeight="1">
      <c r="N2195" s="553"/>
      <c r="O2195" s="553"/>
      <c r="P2195" s="553"/>
      <c r="Q2195" s="553"/>
      <c r="R2195" s="553"/>
      <c r="S2195" s="553"/>
    </row>
    <row r="2196" spans="14:19" ht="27.95" customHeight="1">
      <c r="N2196" s="553"/>
      <c r="O2196" s="553"/>
      <c r="P2196" s="553"/>
      <c r="Q2196" s="553"/>
      <c r="R2196" s="553"/>
      <c r="S2196" s="553"/>
    </row>
    <row r="2197" spans="14:19" ht="27.95" customHeight="1">
      <c r="N2197" s="553"/>
      <c r="O2197" s="553"/>
      <c r="P2197" s="553"/>
      <c r="Q2197" s="553"/>
      <c r="R2197" s="553"/>
      <c r="S2197" s="553"/>
    </row>
    <row r="2198" spans="14:19" ht="27.95" customHeight="1">
      <c r="N2198" s="553"/>
      <c r="O2198" s="553"/>
      <c r="P2198" s="553"/>
      <c r="Q2198" s="553"/>
      <c r="R2198" s="553"/>
      <c r="S2198" s="553"/>
    </row>
    <row r="2199" spans="14:19" ht="27.95" customHeight="1">
      <c r="N2199" s="553"/>
      <c r="O2199" s="553"/>
      <c r="P2199" s="553"/>
      <c r="Q2199" s="553"/>
      <c r="R2199" s="553"/>
      <c r="S2199" s="553"/>
    </row>
    <row r="2200" spans="14:19" ht="27.95" customHeight="1">
      <c r="N2200" s="553"/>
      <c r="O2200" s="553"/>
      <c r="P2200" s="553"/>
      <c r="Q2200" s="553"/>
      <c r="R2200" s="553"/>
      <c r="S2200" s="553"/>
    </row>
    <row r="2201" spans="14:19" ht="27.95" customHeight="1">
      <c r="N2201" s="553"/>
      <c r="O2201" s="553"/>
      <c r="P2201" s="553"/>
      <c r="Q2201" s="553"/>
      <c r="R2201" s="553"/>
      <c r="S2201" s="553"/>
    </row>
    <row r="2202" spans="14:19" ht="27.95" customHeight="1">
      <c r="N2202" s="553"/>
      <c r="O2202" s="553"/>
      <c r="P2202" s="553"/>
      <c r="Q2202" s="553"/>
      <c r="R2202" s="553"/>
      <c r="S2202" s="553"/>
    </row>
    <row r="2203" spans="14:19" ht="27.95" customHeight="1">
      <c r="N2203" s="553"/>
      <c r="O2203" s="553"/>
      <c r="P2203" s="553"/>
      <c r="Q2203" s="553"/>
      <c r="R2203" s="553"/>
      <c r="S2203" s="553"/>
    </row>
    <row r="2204" spans="14:19" ht="27.95" customHeight="1">
      <c r="N2204" s="553"/>
      <c r="O2204" s="553"/>
      <c r="P2204" s="553"/>
      <c r="Q2204" s="553"/>
      <c r="R2204" s="553"/>
      <c r="S2204" s="553"/>
    </row>
    <row r="2205" spans="14:19" ht="27.95" customHeight="1">
      <c r="N2205" s="553"/>
      <c r="O2205" s="553"/>
      <c r="P2205" s="553"/>
      <c r="Q2205" s="553"/>
      <c r="R2205" s="553"/>
      <c r="S2205" s="553"/>
    </row>
    <row r="2206" spans="14:19" ht="27.95" customHeight="1">
      <c r="N2206" s="553"/>
      <c r="O2206" s="553"/>
      <c r="P2206" s="553"/>
      <c r="Q2206" s="553"/>
      <c r="R2206" s="553"/>
      <c r="S2206" s="553"/>
    </row>
    <row r="2207" spans="14:19" ht="27.95" customHeight="1">
      <c r="N2207" s="553"/>
      <c r="O2207" s="553"/>
      <c r="P2207" s="553"/>
      <c r="Q2207" s="553"/>
      <c r="R2207" s="553"/>
      <c r="S2207" s="553"/>
    </row>
    <row r="2208" spans="14:19" ht="27.95" customHeight="1">
      <c r="N2208" s="553"/>
      <c r="O2208" s="553"/>
      <c r="P2208" s="553"/>
      <c r="Q2208" s="553"/>
      <c r="R2208" s="553"/>
      <c r="S2208" s="553"/>
    </row>
    <row r="2209" spans="14:19" ht="27.95" customHeight="1">
      <c r="N2209" s="553"/>
      <c r="O2209" s="553"/>
      <c r="P2209" s="553"/>
      <c r="Q2209" s="553"/>
      <c r="R2209" s="553"/>
      <c r="S2209" s="553"/>
    </row>
    <row r="2210" spans="14:19" ht="27.95" customHeight="1">
      <c r="N2210" s="553"/>
      <c r="O2210" s="553"/>
      <c r="P2210" s="553"/>
      <c r="Q2210" s="553"/>
      <c r="R2210" s="553"/>
      <c r="S2210" s="553"/>
    </row>
    <row r="2211" spans="14:19" ht="27.95" customHeight="1">
      <c r="N2211" s="553"/>
      <c r="O2211" s="553"/>
      <c r="P2211" s="553"/>
      <c r="Q2211" s="553"/>
      <c r="R2211" s="553"/>
      <c r="S2211" s="553"/>
    </row>
    <row r="2212" spans="14:19" ht="27.95" customHeight="1">
      <c r="N2212" s="553"/>
      <c r="O2212" s="553"/>
      <c r="P2212" s="553"/>
      <c r="Q2212" s="553"/>
      <c r="R2212" s="553"/>
      <c r="S2212" s="553"/>
    </row>
    <row r="2213" spans="14:19" ht="27.95" customHeight="1">
      <c r="N2213" s="553"/>
      <c r="O2213" s="553"/>
      <c r="P2213" s="553"/>
      <c r="Q2213" s="553"/>
      <c r="R2213" s="553"/>
      <c r="S2213" s="553"/>
    </row>
    <row r="2214" spans="14:19" ht="27.95" customHeight="1">
      <c r="N2214" s="553"/>
      <c r="O2214" s="553"/>
      <c r="P2214" s="553"/>
      <c r="Q2214" s="553"/>
      <c r="R2214" s="553"/>
      <c r="S2214" s="553"/>
    </row>
    <row r="2215" spans="14:19" ht="27.95" customHeight="1">
      <c r="N2215" s="553"/>
      <c r="O2215" s="553"/>
      <c r="P2215" s="553"/>
      <c r="Q2215" s="553"/>
      <c r="R2215" s="553"/>
      <c r="S2215" s="553"/>
    </row>
    <row r="2216" spans="14:19" ht="27.95" customHeight="1">
      <c r="N2216" s="553"/>
      <c r="O2216" s="553"/>
      <c r="P2216" s="553"/>
      <c r="Q2216" s="553"/>
      <c r="R2216" s="553"/>
      <c r="S2216" s="553"/>
    </row>
    <row r="2217" spans="14:19" ht="27.95" customHeight="1">
      <c r="N2217" s="553"/>
      <c r="O2217" s="553"/>
      <c r="P2217" s="553"/>
      <c r="Q2217" s="553"/>
      <c r="R2217" s="553"/>
      <c r="S2217" s="553"/>
    </row>
    <row r="2218" spans="14:19" ht="27.95" customHeight="1">
      <c r="N2218" s="553"/>
      <c r="O2218" s="553"/>
      <c r="P2218" s="553"/>
      <c r="Q2218" s="553"/>
      <c r="R2218" s="553"/>
      <c r="S2218" s="553"/>
    </row>
    <row r="2219" spans="14:19" ht="27.95" customHeight="1">
      <c r="N2219" s="553"/>
      <c r="O2219" s="553"/>
      <c r="P2219" s="553"/>
      <c r="Q2219" s="553"/>
      <c r="R2219" s="553"/>
      <c r="S2219" s="553"/>
    </row>
    <row r="2220" spans="14:19" ht="27.95" customHeight="1">
      <c r="N2220" s="553"/>
      <c r="O2220" s="553"/>
      <c r="P2220" s="553"/>
      <c r="Q2220" s="553"/>
      <c r="R2220" s="553"/>
      <c r="S2220" s="553"/>
    </row>
    <row r="2221" spans="14:19" ht="27.95" customHeight="1">
      <c r="N2221" s="553"/>
      <c r="O2221" s="553"/>
      <c r="P2221" s="553"/>
      <c r="Q2221" s="553"/>
      <c r="R2221" s="553"/>
      <c r="S2221" s="553"/>
    </row>
    <row r="2222" spans="14:19" ht="27.95" customHeight="1">
      <c r="N2222" s="553"/>
      <c r="O2222" s="553"/>
      <c r="P2222" s="553"/>
      <c r="Q2222" s="553"/>
      <c r="R2222" s="553"/>
      <c r="S2222" s="553"/>
    </row>
    <row r="2223" spans="14:19" ht="27.95" customHeight="1">
      <c r="N2223" s="553"/>
      <c r="O2223" s="553"/>
      <c r="P2223" s="553"/>
      <c r="Q2223" s="553"/>
      <c r="R2223" s="553"/>
      <c r="S2223" s="553"/>
    </row>
    <row r="2224" spans="14:19" ht="27.95" customHeight="1">
      <c r="N2224" s="553"/>
      <c r="O2224" s="553"/>
      <c r="P2224" s="553"/>
      <c r="Q2224" s="553"/>
      <c r="R2224" s="553"/>
      <c r="S2224" s="553"/>
    </row>
    <row r="2225" spans="14:19" ht="27.95" customHeight="1">
      <c r="N2225" s="553"/>
      <c r="O2225" s="553"/>
      <c r="P2225" s="553"/>
      <c r="Q2225" s="553"/>
      <c r="R2225" s="553"/>
      <c r="S2225" s="553"/>
    </row>
    <row r="2226" spans="14:19" ht="27.95" customHeight="1">
      <c r="N2226" s="553"/>
      <c r="O2226" s="553"/>
      <c r="P2226" s="553"/>
      <c r="Q2226" s="553"/>
      <c r="R2226" s="553"/>
      <c r="S2226" s="553"/>
    </row>
    <row r="2227" spans="14:19" ht="27.95" customHeight="1">
      <c r="N2227" s="553"/>
      <c r="O2227" s="553"/>
      <c r="P2227" s="553"/>
      <c r="Q2227" s="553"/>
      <c r="R2227" s="553"/>
      <c r="S2227" s="553"/>
    </row>
    <row r="2228" spans="14:19" ht="27.95" customHeight="1">
      <c r="N2228" s="553"/>
      <c r="O2228" s="553"/>
      <c r="P2228" s="553"/>
      <c r="Q2228" s="553"/>
      <c r="R2228" s="553"/>
      <c r="S2228" s="553"/>
    </row>
    <row r="2229" spans="14:19" ht="27.95" customHeight="1">
      <c r="N2229" s="553"/>
      <c r="O2229" s="553"/>
      <c r="P2229" s="553"/>
      <c r="Q2229" s="553"/>
      <c r="R2229" s="553"/>
      <c r="S2229" s="553"/>
    </row>
    <row r="2230" spans="14:19" ht="27.95" customHeight="1">
      <c r="N2230" s="553"/>
      <c r="O2230" s="553"/>
      <c r="P2230" s="553"/>
      <c r="Q2230" s="553"/>
      <c r="R2230" s="553"/>
      <c r="S2230" s="553"/>
    </row>
    <row r="2231" spans="14:19" ht="27.95" customHeight="1">
      <c r="N2231" s="553"/>
      <c r="O2231" s="553"/>
      <c r="P2231" s="553"/>
      <c r="Q2231" s="553"/>
      <c r="R2231" s="553"/>
      <c r="S2231" s="553"/>
    </row>
    <row r="2232" spans="14:19" ht="27.95" customHeight="1">
      <c r="N2232" s="553"/>
      <c r="O2232" s="553"/>
      <c r="P2232" s="553"/>
      <c r="Q2232" s="553"/>
      <c r="R2232" s="553"/>
      <c r="S2232" s="553"/>
    </row>
  </sheetData>
  <autoFilter ref="B1:B45"/>
  <phoneticPr fontId="0" type="noConversion"/>
  <printOptions gridLines="1"/>
  <pageMargins left="0.52" right="0.26" top="0.81" bottom="0.5" header="0.31" footer="0.2"/>
  <pageSetup scale="60" orientation="portrait" r:id="rId1"/>
  <headerFooter alignWithMargins="0">
    <oddHeader>&amp;C&amp;"Algerian,Bold"&amp;36HAY'ADDA MIINOSAARKA QARANKA</oddHeader>
    <oddFooter>&amp;R&amp;"Times New Roman,Bold"&amp;14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O25" zoomScale="60" zoomScaleNormal="100" workbookViewId="0">
      <selection activeCell="V28" sqref="V28"/>
    </sheetView>
  </sheetViews>
  <sheetFormatPr defaultRowHeight="120" customHeight="1"/>
  <cols>
    <col min="1" max="1" width="83.83203125" style="359" bestFit="1" customWidth="1"/>
    <col min="2" max="2" width="48" style="359" bestFit="1" customWidth="1"/>
    <col min="3" max="3" width="45" style="359" bestFit="1" customWidth="1"/>
    <col min="4" max="4" width="43.83203125" style="359" customWidth="1"/>
    <col min="5" max="5" width="21.33203125" style="359" customWidth="1"/>
    <col min="6" max="6" width="38.5" style="359" customWidth="1"/>
    <col min="7" max="7" width="42.1640625" style="359" customWidth="1"/>
    <col min="8" max="8" width="39.33203125" style="359" customWidth="1"/>
    <col min="9" max="9" width="48" style="359" bestFit="1" customWidth="1"/>
    <col min="10" max="10" width="44.83203125" style="359" bestFit="1" customWidth="1"/>
    <col min="11" max="11" width="37.1640625" style="359" bestFit="1" customWidth="1"/>
    <col min="12" max="12" width="41.5" style="359" bestFit="1" customWidth="1"/>
    <col min="13" max="13" width="19.33203125" style="359" customWidth="1"/>
    <col min="14" max="15" width="37.1640625" style="359" bestFit="1" customWidth="1"/>
    <col min="16" max="16" width="36.83203125" style="359" customWidth="1"/>
    <col min="17" max="17" width="36.5" style="359" bestFit="1" customWidth="1"/>
    <col min="18" max="19" width="37.1640625" style="359" bestFit="1" customWidth="1"/>
    <col min="20" max="20" width="44.83203125" style="359" bestFit="1" customWidth="1"/>
    <col min="21" max="21" width="54.6640625" style="949" bestFit="1" customWidth="1"/>
    <col min="22" max="22" width="53.1640625" style="359" customWidth="1"/>
    <col min="23" max="23" width="46.33203125" style="359" customWidth="1"/>
    <col min="24" max="24" width="22.1640625" style="359" customWidth="1"/>
    <col min="25" max="16384" width="9.33203125" style="359"/>
  </cols>
  <sheetData>
    <row r="1" spans="1:24" s="955" customFormat="1" ht="120" customHeight="1">
      <c r="A1" s="951" t="s">
        <v>622</v>
      </c>
      <c r="B1" s="951" t="s">
        <v>623</v>
      </c>
      <c r="C1" s="952" t="s">
        <v>1479</v>
      </c>
      <c r="D1" s="951" t="s">
        <v>624</v>
      </c>
      <c r="E1" s="953" t="s">
        <v>1480</v>
      </c>
      <c r="F1" s="951" t="s">
        <v>625</v>
      </c>
      <c r="G1" s="951" t="s">
        <v>626</v>
      </c>
      <c r="H1" s="951" t="s">
        <v>627</v>
      </c>
      <c r="I1" s="951" t="s">
        <v>628</v>
      </c>
      <c r="J1" s="951" t="s">
        <v>629</v>
      </c>
      <c r="K1" s="951" t="s">
        <v>630</v>
      </c>
      <c r="L1" s="951" t="s">
        <v>631</v>
      </c>
      <c r="M1" s="951" t="s">
        <v>632</v>
      </c>
      <c r="N1" s="951" t="s">
        <v>633</v>
      </c>
      <c r="O1" s="951" t="s">
        <v>635</v>
      </c>
      <c r="P1" s="951" t="s">
        <v>636</v>
      </c>
      <c r="Q1" s="951" t="s">
        <v>637</v>
      </c>
      <c r="R1" s="951" t="s">
        <v>638</v>
      </c>
      <c r="S1" s="951" t="s">
        <v>639</v>
      </c>
      <c r="T1" s="951" t="s">
        <v>1481</v>
      </c>
      <c r="U1" s="954" t="s">
        <v>640</v>
      </c>
    </row>
    <row r="2" spans="1:24" ht="120" customHeight="1">
      <c r="A2" s="956" t="s">
        <v>1482</v>
      </c>
      <c r="B2" s="957">
        <v>106558071724</v>
      </c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46">
        <f>SUM(B2:T2)</f>
        <v>106558071724</v>
      </c>
    </row>
    <row r="3" spans="1:24" ht="120" customHeight="1">
      <c r="A3" s="950" t="s">
        <v>641</v>
      </c>
      <c r="B3" s="958">
        <v>159834426654</v>
      </c>
      <c r="C3" s="970"/>
      <c r="D3" s="958">
        <v>23145259303</v>
      </c>
      <c r="E3" s="959">
        <v>0</v>
      </c>
      <c r="F3" s="958">
        <v>8690048976</v>
      </c>
      <c r="G3" s="958">
        <v>4828979223</v>
      </c>
      <c r="H3" s="958">
        <v>1781390642</v>
      </c>
      <c r="I3" s="958">
        <v>3792011176.4305449</v>
      </c>
      <c r="J3" s="958">
        <v>948420737.39428174</v>
      </c>
      <c r="K3" s="958">
        <v>448413127.78816295</v>
      </c>
      <c r="L3" s="958">
        <v>2374835911</v>
      </c>
      <c r="M3" s="958">
        <v>0</v>
      </c>
      <c r="N3" s="958">
        <v>0</v>
      </c>
      <c r="O3" s="958">
        <v>0</v>
      </c>
      <c r="P3" s="958">
        <v>0</v>
      </c>
      <c r="Q3" s="958">
        <v>0</v>
      </c>
      <c r="R3" s="958">
        <v>0</v>
      </c>
      <c r="S3" s="958">
        <v>0</v>
      </c>
      <c r="T3" s="958">
        <v>0</v>
      </c>
      <c r="U3" s="946">
        <f t="shared" ref="U3:U24" si="0">SUM(B3:T3)</f>
        <v>205843785750.61301</v>
      </c>
      <c r="V3" s="788"/>
    </row>
    <row r="4" spans="1:24" ht="120" customHeight="1">
      <c r="A4" s="950" t="s">
        <v>642</v>
      </c>
      <c r="B4" s="971">
        <v>880495782.14678967</v>
      </c>
      <c r="C4" s="971">
        <v>38649622063.45887</v>
      </c>
      <c r="D4" s="971">
        <v>636763400368</v>
      </c>
      <c r="E4" s="971">
        <v>0</v>
      </c>
      <c r="F4" s="971">
        <v>950228983</v>
      </c>
      <c r="G4" s="971">
        <v>9303965368.4454784</v>
      </c>
      <c r="H4" s="971">
        <v>582063378</v>
      </c>
      <c r="I4" s="971">
        <v>153365332075.54108</v>
      </c>
      <c r="J4" s="971">
        <v>64887384066</v>
      </c>
      <c r="K4" s="971">
        <v>444981800</v>
      </c>
      <c r="L4" s="971">
        <v>3434415550.9762182</v>
      </c>
      <c r="M4" s="971">
        <v>0</v>
      </c>
      <c r="N4" s="971">
        <v>376494381.045021</v>
      </c>
      <c r="O4" s="971">
        <v>129499017.98813933</v>
      </c>
      <c r="P4" s="971">
        <v>44255500.540491596</v>
      </c>
      <c r="Q4" s="971">
        <v>99072983.435240462</v>
      </c>
      <c r="R4" s="971">
        <v>100600809</v>
      </c>
      <c r="S4" s="971">
        <v>788945903.96487284</v>
      </c>
      <c r="T4" s="971">
        <v>10340914148.930296</v>
      </c>
      <c r="U4" s="946">
        <f t="shared" si="0"/>
        <v>921141672180.47253</v>
      </c>
      <c r="V4" s="788"/>
    </row>
    <row r="5" spans="1:24" ht="120" customHeight="1">
      <c r="A5" s="950"/>
      <c r="B5" s="958"/>
      <c r="C5" s="958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46">
        <f t="shared" si="0"/>
        <v>0</v>
      </c>
    </row>
    <row r="6" spans="1:24" s="949" customFormat="1" ht="120" customHeight="1">
      <c r="A6" s="950" t="s">
        <v>1483</v>
      </c>
      <c r="B6" s="960">
        <f>SUM(B2:B5)</f>
        <v>267272994160.14679</v>
      </c>
      <c r="C6" s="960">
        <f t="shared" ref="C6:T6" si="1">SUM(C2:C5)</f>
        <v>38649622063.45887</v>
      </c>
      <c r="D6" s="960">
        <f t="shared" si="1"/>
        <v>659908659671</v>
      </c>
      <c r="E6" s="960">
        <f t="shared" si="1"/>
        <v>0</v>
      </c>
      <c r="F6" s="960">
        <f t="shared" si="1"/>
        <v>9640277959</v>
      </c>
      <c r="G6" s="960">
        <f t="shared" si="1"/>
        <v>14132944591.445478</v>
      </c>
      <c r="H6" s="960">
        <f t="shared" si="1"/>
        <v>2363454020</v>
      </c>
      <c r="I6" s="960">
        <f t="shared" si="1"/>
        <v>157157343251.97162</v>
      </c>
      <c r="J6" s="960">
        <f t="shared" si="1"/>
        <v>65835804803.394279</v>
      </c>
      <c r="K6" s="960">
        <f t="shared" si="1"/>
        <v>893394927.78816295</v>
      </c>
      <c r="L6" s="960">
        <f t="shared" si="1"/>
        <v>5809251461.9762182</v>
      </c>
      <c r="M6" s="960">
        <f t="shared" si="1"/>
        <v>0</v>
      </c>
      <c r="N6" s="960">
        <f t="shared" si="1"/>
        <v>376494381.045021</v>
      </c>
      <c r="O6" s="960">
        <f t="shared" si="1"/>
        <v>129499017.98813933</v>
      </c>
      <c r="P6" s="960">
        <f t="shared" si="1"/>
        <v>44255500.540491596</v>
      </c>
      <c r="Q6" s="960">
        <f t="shared" si="1"/>
        <v>99072983.435240462</v>
      </c>
      <c r="R6" s="960">
        <f t="shared" si="1"/>
        <v>100600809</v>
      </c>
      <c r="S6" s="960">
        <f t="shared" si="1"/>
        <v>788945903.96487284</v>
      </c>
      <c r="T6" s="960">
        <f t="shared" si="1"/>
        <v>10340914148.930296</v>
      </c>
      <c r="U6" s="946">
        <f>SUM(U2:U5)</f>
        <v>1233543529655.0854</v>
      </c>
    </row>
    <row r="7" spans="1:24" ht="120" customHeight="1">
      <c r="A7" s="950" t="s">
        <v>644</v>
      </c>
      <c r="B7" s="958">
        <v>7117417857.5</v>
      </c>
      <c r="C7" s="958"/>
      <c r="D7" s="958">
        <v>3632550857.5</v>
      </c>
      <c r="E7" s="958"/>
      <c r="F7" s="961">
        <v>281366098</v>
      </c>
      <c r="G7" s="958">
        <v>55810000</v>
      </c>
      <c r="H7" s="958">
        <v>20179500</v>
      </c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46">
        <f t="shared" si="0"/>
        <v>11107324313</v>
      </c>
      <c r="V7" s="962"/>
      <c r="W7" s="788"/>
      <c r="X7" s="963"/>
    </row>
    <row r="8" spans="1:24" ht="120" customHeight="1">
      <c r="A8" s="950" t="s">
        <v>645</v>
      </c>
      <c r="B8" s="958">
        <v>4578982341</v>
      </c>
      <c r="C8" s="958"/>
      <c r="D8" s="958"/>
      <c r="E8" s="958"/>
      <c r="F8" s="961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46">
        <f t="shared" si="0"/>
        <v>4578982341</v>
      </c>
      <c r="X8" s="963"/>
    </row>
    <row r="9" spans="1:24" ht="120" customHeight="1">
      <c r="A9" s="950" t="s">
        <v>646</v>
      </c>
      <c r="B9" s="958">
        <v>1000000000</v>
      </c>
      <c r="C9" s="958"/>
      <c r="D9" s="958"/>
      <c r="E9" s="958"/>
      <c r="F9" s="961"/>
      <c r="G9" s="958"/>
      <c r="H9" s="958"/>
      <c r="I9" s="958"/>
      <c r="J9" s="958"/>
      <c r="K9" s="958"/>
      <c r="L9" s="958"/>
      <c r="M9" s="958"/>
      <c r="N9" s="958"/>
      <c r="O9" s="958"/>
      <c r="P9" s="958"/>
      <c r="Q9" s="958"/>
      <c r="R9" s="958"/>
      <c r="S9" s="958"/>
      <c r="T9" s="958"/>
      <c r="U9" s="946">
        <f t="shared" si="0"/>
        <v>1000000000</v>
      </c>
      <c r="X9" s="963"/>
    </row>
    <row r="10" spans="1:24" ht="120" customHeight="1">
      <c r="A10" s="950" t="s">
        <v>647</v>
      </c>
      <c r="B10" s="958">
        <v>1293791841.7867532</v>
      </c>
      <c r="C10" s="958"/>
      <c r="D10" s="958">
        <v>999713449.16471696</v>
      </c>
      <c r="E10" s="958"/>
      <c r="F10" s="961">
        <v>41654727.048529871</v>
      </c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46">
        <f t="shared" si="0"/>
        <v>2335160018.0000005</v>
      </c>
    </row>
    <row r="11" spans="1:24" ht="120" customHeight="1">
      <c r="A11" s="950" t="s">
        <v>1471</v>
      </c>
      <c r="B11" s="958">
        <v>35252780</v>
      </c>
      <c r="C11" s="958"/>
      <c r="D11" s="958"/>
      <c r="E11" s="958"/>
      <c r="F11" s="961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958"/>
      <c r="S11" s="958"/>
      <c r="T11" s="958"/>
      <c r="U11" s="946">
        <f t="shared" si="0"/>
        <v>35252780</v>
      </c>
    </row>
    <row r="12" spans="1:24" ht="120" customHeight="1">
      <c r="A12" s="950" t="s">
        <v>1472</v>
      </c>
      <c r="B12" s="958">
        <v>5609670701</v>
      </c>
      <c r="C12" s="958"/>
      <c r="D12" s="958"/>
      <c r="E12" s="958"/>
      <c r="F12" s="961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46">
        <f t="shared" si="0"/>
        <v>5609670701</v>
      </c>
    </row>
    <row r="13" spans="1:24" ht="120" customHeight="1">
      <c r="A13" s="950" t="s">
        <v>958</v>
      </c>
      <c r="B13" s="958">
        <v>20000000</v>
      </c>
      <c r="C13" s="958"/>
      <c r="D13" s="958"/>
      <c r="E13" s="958"/>
      <c r="F13" s="961"/>
      <c r="G13" s="958"/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46">
        <f t="shared" si="0"/>
        <v>20000000</v>
      </c>
    </row>
    <row r="14" spans="1:24" ht="120" customHeight="1">
      <c r="A14" s="950" t="s">
        <v>650</v>
      </c>
      <c r="B14" s="958">
        <v>5225820837.6892099</v>
      </c>
      <c r="C14" s="958"/>
      <c r="D14" s="958">
        <v>774659250.31078744</v>
      </c>
      <c r="E14" s="958"/>
      <c r="F14" s="961"/>
      <c r="G14" s="958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46">
        <f t="shared" si="0"/>
        <v>6000480087.9999971</v>
      </c>
      <c r="V14" s="962"/>
      <c r="W14" s="788"/>
    </row>
    <row r="15" spans="1:24" ht="120" customHeight="1">
      <c r="A15" s="950" t="s">
        <v>651</v>
      </c>
      <c r="B15" s="958">
        <v>1733820114.6525488</v>
      </c>
      <c r="C15" s="958"/>
      <c r="D15" s="958">
        <v>2314348.4173788503</v>
      </c>
      <c r="E15" s="958"/>
      <c r="F15" s="961"/>
      <c r="G15" s="958"/>
      <c r="H15" s="958">
        <v>574429360.93007219</v>
      </c>
      <c r="I15" s="958"/>
      <c r="J15" s="958"/>
      <c r="K15" s="958"/>
      <c r="L15" s="958"/>
      <c r="M15" s="958"/>
      <c r="N15" s="958"/>
      <c r="O15" s="958"/>
      <c r="P15" s="958"/>
      <c r="Q15" s="958"/>
      <c r="R15" s="958"/>
      <c r="S15" s="958"/>
      <c r="T15" s="958"/>
      <c r="U15" s="946">
        <f t="shared" si="0"/>
        <v>2310563824</v>
      </c>
      <c r="V15" s="788"/>
    </row>
    <row r="16" spans="1:24" ht="120" customHeight="1">
      <c r="A16" s="950" t="s">
        <v>1473</v>
      </c>
      <c r="B16" s="958">
        <v>1800000000</v>
      </c>
      <c r="C16" s="958"/>
      <c r="D16" s="958"/>
      <c r="E16" s="958"/>
      <c r="F16" s="961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46">
        <f t="shared" si="0"/>
        <v>1800000000</v>
      </c>
      <c r="V16" s="788"/>
    </row>
    <row r="17" spans="1:23" ht="120" customHeight="1">
      <c r="A17" s="950" t="s">
        <v>1474</v>
      </c>
      <c r="B17" s="958">
        <v>30000000000</v>
      </c>
      <c r="C17" s="958"/>
      <c r="D17" s="972">
        <v>0</v>
      </c>
      <c r="E17" s="964"/>
      <c r="F17" s="961">
        <v>0</v>
      </c>
      <c r="G17" s="958">
        <v>0</v>
      </c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46">
        <f t="shared" si="0"/>
        <v>30000000000</v>
      </c>
      <c r="V17" s="788"/>
    </row>
    <row r="18" spans="1:23" ht="120" customHeight="1">
      <c r="A18" s="950" t="s">
        <v>1484</v>
      </c>
      <c r="B18" s="958">
        <v>2145000000</v>
      </c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46">
        <f t="shared" si="0"/>
        <v>2145000000</v>
      </c>
      <c r="V18" s="788"/>
    </row>
    <row r="19" spans="1:23" ht="120" customHeight="1">
      <c r="A19" s="950" t="s">
        <v>1475</v>
      </c>
      <c r="B19" s="958">
        <v>21151756100.033081</v>
      </c>
      <c r="C19" s="958"/>
      <c r="D19" s="958">
        <v>18980114.635319829</v>
      </c>
      <c r="E19" s="958"/>
      <c r="F19" s="958">
        <v>23189261.142131113</v>
      </c>
      <c r="G19" s="958">
        <v>16235818.65686013</v>
      </c>
      <c r="H19" s="958">
        <v>4074996.1858510254</v>
      </c>
      <c r="I19" s="958">
        <v>11707260.353606662</v>
      </c>
      <c r="J19" s="958">
        <v>1632717.6845561804</v>
      </c>
      <c r="K19" s="958">
        <v>3403346.6911184452</v>
      </c>
      <c r="L19" s="958">
        <v>1849224.9346137969</v>
      </c>
      <c r="M19" s="958"/>
      <c r="N19" s="958"/>
      <c r="O19" s="958"/>
      <c r="P19" s="958"/>
      <c r="Q19" s="958"/>
      <c r="R19" s="958"/>
      <c r="S19" s="958"/>
      <c r="T19" s="958"/>
      <c r="U19" s="946">
        <f t="shared" si="0"/>
        <v>21232828840.317139</v>
      </c>
      <c r="V19" s="788"/>
      <c r="W19" s="788"/>
    </row>
    <row r="20" spans="1:23" ht="120" customHeight="1">
      <c r="A20" s="950" t="s">
        <v>1476</v>
      </c>
      <c r="B20" s="958"/>
      <c r="C20" s="958"/>
      <c r="D20" s="958"/>
      <c r="E20" s="958"/>
      <c r="F20" s="961"/>
      <c r="G20" s="958"/>
      <c r="H20" s="958"/>
      <c r="I20" s="958"/>
      <c r="J20" s="958"/>
      <c r="K20" s="958"/>
      <c r="L20" s="958"/>
      <c r="M20" s="958"/>
      <c r="N20" s="958"/>
      <c r="O20" s="958"/>
      <c r="P20" s="958"/>
      <c r="Q20" s="958"/>
      <c r="R20" s="958"/>
      <c r="S20" s="958"/>
      <c r="T20" s="958"/>
      <c r="U20" s="946">
        <f t="shared" si="0"/>
        <v>0</v>
      </c>
    </row>
    <row r="21" spans="1:23" ht="120" customHeight="1">
      <c r="A21" s="950" t="s">
        <v>959</v>
      </c>
      <c r="B21" s="958">
        <v>564000</v>
      </c>
      <c r="C21" s="958"/>
      <c r="D21" s="958">
        <v>22602645982</v>
      </c>
      <c r="E21" s="958"/>
      <c r="F21" s="961"/>
      <c r="G21" s="958"/>
      <c r="H21" s="958">
        <v>2931460</v>
      </c>
      <c r="I21" s="958"/>
      <c r="J21" s="958">
        <v>5597454140</v>
      </c>
      <c r="K21" s="958"/>
      <c r="L21" s="958">
        <v>178542</v>
      </c>
      <c r="M21" s="958"/>
      <c r="N21" s="958">
        <v>67047949</v>
      </c>
      <c r="O21" s="958"/>
      <c r="P21" s="958"/>
      <c r="Q21" s="958"/>
      <c r="R21" s="958"/>
      <c r="S21" s="958"/>
      <c r="T21" s="958"/>
      <c r="U21" s="946">
        <f t="shared" si="0"/>
        <v>28270822073</v>
      </c>
    </row>
    <row r="22" spans="1:23" ht="120" customHeight="1">
      <c r="A22" s="950" t="s">
        <v>960</v>
      </c>
      <c r="B22" s="958">
        <v>35253396880</v>
      </c>
      <c r="C22" s="958"/>
      <c r="D22" s="958"/>
      <c r="E22" s="958"/>
      <c r="F22" s="961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46">
        <f t="shared" si="0"/>
        <v>35253396880</v>
      </c>
    </row>
    <row r="23" spans="1:23" ht="120" customHeight="1">
      <c r="A23" s="950" t="s">
        <v>1477</v>
      </c>
      <c r="B23" s="958">
        <v>835098253</v>
      </c>
      <c r="C23" s="958"/>
      <c r="D23" s="958">
        <v>34823651164.339355</v>
      </c>
      <c r="E23" s="958">
        <v>0</v>
      </c>
      <c r="F23" s="961">
        <v>70707973</v>
      </c>
      <c r="G23" s="958">
        <v>367352257</v>
      </c>
      <c r="H23" s="958">
        <v>47921495</v>
      </c>
      <c r="I23" s="958">
        <v>4092279780.6606445</v>
      </c>
      <c r="J23" s="958">
        <v>4313648384</v>
      </c>
      <c r="K23" s="958">
        <v>31796610</v>
      </c>
      <c r="L23" s="958">
        <v>246099640</v>
      </c>
      <c r="M23" s="958">
        <v>0</v>
      </c>
      <c r="N23" s="958">
        <v>6730716</v>
      </c>
      <c r="O23" s="958">
        <v>7991900</v>
      </c>
      <c r="P23" s="958">
        <v>4341366</v>
      </c>
      <c r="Q23" s="958">
        <v>5922330</v>
      </c>
      <c r="R23" s="958">
        <v>0</v>
      </c>
      <c r="S23" s="958">
        <v>31120078</v>
      </c>
      <c r="T23" s="958">
        <v>672326540</v>
      </c>
      <c r="U23" s="946">
        <f t="shared" si="0"/>
        <v>45556988487</v>
      </c>
      <c r="V23" s="788"/>
      <c r="W23" s="788"/>
    </row>
    <row r="24" spans="1:23" ht="120" customHeight="1">
      <c r="A24" s="965" t="s">
        <v>1485</v>
      </c>
      <c r="B24" s="958">
        <v>60000000000</v>
      </c>
      <c r="C24" s="958"/>
      <c r="D24" s="973"/>
      <c r="E24" s="958"/>
      <c r="F24" s="961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46">
        <f t="shared" si="0"/>
        <v>60000000000</v>
      </c>
      <c r="V24" s="788"/>
      <c r="W24" s="788"/>
    </row>
    <row r="25" spans="1:23" s="949" customFormat="1" ht="120" customHeight="1">
      <c r="A25" s="950" t="s">
        <v>1483</v>
      </c>
      <c r="B25" s="964">
        <f>SUM(B7:B24)</f>
        <v>177800571706.66159</v>
      </c>
      <c r="C25" s="964">
        <f t="shared" ref="C25:S25" si="2">SUM(C7:C24)</f>
        <v>0</v>
      </c>
      <c r="D25" s="964">
        <f>SUM(D7:D24)</f>
        <v>62854515166.367554</v>
      </c>
      <c r="E25" s="964">
        <f t="shared" si="2"/>
        <v>0</v>
      </c>
      <c r="F25" s="964">
        <f t="shared" si="2"/>
        <v>416918059.19066095</v>
      </c>
      <c r="G25" s="964">
        <f t="shared" si="2"/>
        <v>439398075.65686011</v>
      </c>
      <c r="H25" s="964">
        <f t="shared" si="2"/>
        <v>649536812.11592317</v>
      </c>
      <c r="I25" s="964">
        <f t="shared" si="2"/>
        <v>4103987041.0142512</v>
      </c>
      <c r="J25" s="964">
        <f t="shared" si="2"/>
        <v>9912735241.6845551</v>
      </c>
      <c r="K25" s="964">
        <f t="shared" si="2"/>
        <v>35199956.691118449</v>
      </c>
      <c r="L25" s="964">
        <f t="shared" si="2"/>
        <v>248127406.93461379</v>
      </c>
      <c r="M25" s="964">
        <f t="shared" si="2"/>
        <v>0</v>
      </c>
      <c r="N25" s="964">
        <f t="shared" si="2"/>
        <v>73778665</v>
      </c>
      <c r="O25" s="964">
        <f t="shared" si="2"/>
        <v>7991900</v>
      </c>
      <c r="P25" s="964">
        <f t="shared" si="2"/>
        <v>4341366</v>
      </c>
      <c r="Q25" s="964">
        <f t="shared" si="2"/>
        <v>5922330</v>
      </c>
      <c r="R25" s="964">
        <f t="shared" si="2"/>
        <v>0</v>
      </c>
      <c r="S25" s="964">
        <f t="shared" si="2"/>
        <v>31120078</v>
      </c>
      <c r="T25" s="964">
        <f>SUM(T7:T24)</f>
        <v>672326540</v>
      </c>
      <c r="U25" s="964">
        <f>SUM(U7:U24)</f>
        <v>257256470345.31714</v>
      </c>
      <c r="W25" s="947"/>
    </row>
    <row r="26" spans="1:23" s="949" customFormat="1" ht="120" customHeight="1">
      <c r="A26" s="950" t="s">
        <v>640</v>
      </c>
      <c r="B26" s="946">
        <f>B25+B6</f>
        <v>445073565866.80835</v>
      </c>
      <c r="C26" s="946">
        <f t="shared" ref="C26:T26" si="3">C25+C6</f>
        <v>38649622063.45887</v>
      </c>
      <c r="D26" s="946">
        <f>D25+D6</f>
        <v>722763174837.36755</v>
      </c>
      <c r="E26" s="946">
        <f t="shared" si="3"/>
        <v>0</v>
      </c>
      <c r="F26" s="946">
        <f t="shared" si="3"/>
        <v>10057196018.19066</v>
      </c>
      <c r="G26" s="946">
        <f t="shared" si="3"/>
        <v>14572342667.102339</v>
      </c>
      <c r="H26" s="946">
        <f t="shared" si="3"/>
        <v>3012990832.1159229</v>
      </c>
      <c r="I26" s="946">
        <f t="shared" si="3"/>
        <v>161261330292.98587</v>
      </c>
      <c r="J26" s="946">
        <f t="shared" si="3"/>
        <v>75748540045.078827</v>
      </c>
      <c r="K26" s="946">
        <f t="shared" si="3"/>
        <v>928594884.47928143</v>
      </c>
      <c r="L26" s="946">
        <f t="shared" si="3"/>
        <v>6057378868.9108324</v>
      </c>
      <c r="M26" s="946">
        <f t="shared" si="3"/>
        <v>0</v>
      </c>
      <c r="N26" s="946">
        <f t="shared" si="3"/>
        <v>450273046.045021</v>
      </c>
      <c r="O26" s="946">
        <f t="shared" si="3"/>
        <v>137490917.98813933</v>
      </c>
      <c r="P26" s="946">
        <f t="shared" si="3"/>
        <v>48596866.540491596</v>
      </c>
      <c r="Q26" s="946">
        <f t="shared" si="3"/>
        <v>104995313.43524046</v>
      </c>
      <c r="R26" s="946">
        <f t="shared" si="3"/>
        <v>100600809</v>
      </c>
      <c r="S26" s="946">
        <f t="shared" si="3"/>
        <v>820065981.96487284</v>
      </c>
      <c r="T26" s="946">
        <f t="shared" si="3"/>
        <v>11013240688.930296</v>
      </c>
      <c r="U26" s="946">
        <f>U25+U6</f>
        <v>1490800000000.4026</v>
      </c>
      <c r="V26" s="966"/>
      <c r="W26" s="947"/>
    </row>
    <row r="27" spans="1:23" s="949" customFormat="1" ht="120" customHeight="1">
      <c r="B27" s="947"/>
      <c r="C27" s="947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7"/>
      <c r="P27" s="947"/>
      <c r="Q27" s="947"/>
      <c r="R27" s="947"/>
      <c r="S27" s="947"/>
      <c r="T27" s="947"/>
      <c r="U27" s="947"/>
    </row>
    <row r="28" spans="1:23" ht="120" customHeight="1">
      <c r="G28" s="1007"/>
      <c r="H28" s="1007"/>
      <c r="I28" s="1007">
        <v>2016</v>
      </c>
      <c r="J28" s="1007"/>
      <c r="K28" s="1007" t="s">
        <v>1438</v>
      </c>
      <c r="L28" s="1007"/>
      <c r="M28" s="949" t="s">
        <v>545</v>
      </c>
      <c r="O28" s="949" t="s">
        <v>1486</v>
      </c>
      <c r="Q28" s="1008">
        <v>203000000</v>
      </c>
      <c r="R28" s="1008"/>
      <c r="S28" s="1009">
        <v>1218000000000</v>
      </c>
      <c r="T28" s="1009"/>
      <c r="U28" s="1009"/>
    </row>
    <row r="29" spans="1:23" ht="120" customHeight="1">
      <c r="E29" s="1007"/>
      <c r="F29" s="1007"/>
      <c r="G29" s="1011"/>
      <c r="H29" s="1011"/>
      <c r="I29" s="1012"/>
      <c r="J29" s="1012"/>
      <c r="K29" s="1008"/>
      <c r="L29" s="1008"/>
      <c r="M29" s="967"/>
      <c r="O29" s="949"/>
      <c r="Q29" s="1008"/>
      <c r="R29" s="1008"/>
      <c r="S29" s="1010"/>
      <c r="T29" s="1010"/>
      <c r="U29" s="1010"/>
      <c r="V29" s="788"/>
    </row>
    <row r="30" spans="1:23" ht="120" customHeight="1">
      <c r="E30" s="1007"/>
      <c r="F30" s="1007"/>
      <c r="G30" s="1011"/>
      <c r="H30" s="1011"/>
      <c r="I30" s="1012"/>
      <c r="J30" s="1012"/>
      <c r="K30" s="1008"/>
      <c r="L30" s="1008"/>
      <c r="M30" s="967"/>
      <c r="O30" s="947"/>
      <c r="Q30" s="788"/>
      <c r="R30" s="788"/>
      <c r="S30" s="1013"/>
      <c r="T30" s="1014"/>
      <c r="U30" s="1014"/>
      <c r="V30" s="788"/>
    </row>
    <row r="31" spans="1:23" ht="120" customHeight="1">
      <c r="O31" s="949"/>
      <c r="Q31" s="1008"/>
      <c r="R31" s="1008"/>
      <c r="S31" s="1015"/>
      <c r="T31" s="1015"/>
      <c r="U31" s="1015"/>
    </row>
    <row r="32" spans="1:23" ht="120" customHeight="1">
      <c r="B32" s="788"/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947"/>
      <c r="P32" s="788"/>
      <c r="Q32" s="788"/>
      <c r="R32" s="1010"/>
      <c r="S32" s="1010"/>
      <c r="T32" s="1010"/>
      <c r="U32" s="1010"/>
      <c r="V32" s="962"/>
      <c r="W32" s="968"/>
    </row>
    <row r="33" spans="2:21" ht="120" customHeight="1">
      <c r="B33" s="788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947"/>
      <c r="P33" s="788"/>
      <c r="Q33" s="969"/>
      <c r="S33" s="1016"/>
      <c r="T33" s="1010"/>
      <c r="U33" s="1010"/>
    </row>
    <row r="34" spans="2:21" ht="120" customHeight="1">
      <c r="B34" s="788"/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947"/>
      <c r="P34" s="788"/>
      <c r="Q34" s="1016"/>
      <c r="R34" s="1010"/>
      <c r="T34" s="1010"/>
      <c r="U34" s="1010"/>
    </row>
    <row r="35" spans="2:21" ht="120" customHeight="1">
      <c r="Q35" s="1007"/>
      <c r="R35" s="1007"/>
      <c r="S35" s="1007"/>
      <c r="T35" s="1014"/>
      <c r="U35" s="1014"/>
    </row>
    <row r="36" spans="2:21" ht="120" customHeight="1"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947"/>
    </row>
    <row r="37" spans="2:21" ht="120" customHeight="1">
      <c r="U37" s="947"/>
    </row>
    <row r="38" spans="2:21" ht="120" customHeight="1">
      <c r="U38" s="948"/>
    </row>
  </sheetData>
  <mergeCells count="24">
    <mergeCell ref="Q35:S35"/>
    <mergeCell ref="T35:U35"/>
    <mergeCell ref="Q31:R31"/>
    <mergeCell ref="S31:U31"/>
    <mergeCell ref="R32:U32"/>
    <mergeCell ref="S33:U33"/>
    <mergeCell ref="Q34:R34"/>
    <mergeCell ref="T34:U34"/>
    <mergeCell ref="S29:U29"/>
    <mergeCell ref="E30:F30"/>
    <mergeCell ref="G30:H30"/>
    <mergeCell ref="I30:J30"/>
    <mergeCell ref="K30:L30"/>
    <mergeCell ref="S30:U30"/>
    <mergeCell ref="E29:F29"/>
    <mergeCell ref="G29:H29"/>
    <mergeCell ref="I29:J29"/>
    <mergeCell ref="K29:L29"/>
    <mergeCell ref="Q29:R29"/>
    <mergeCell ref="G28:H28"/>
    <mergeCell ref="I28:J28"/>
    <mergeCell ref="K28:L28"/>
    <mergeCell ref="Q28:R28"/>
    <mergeCell ref="S28:U28"/>
  </mergeCells>
  <pageMargins left="0.7" right="0.7" top="0.75" bottom="0.75" header="0.3" footer="0.3"/>
  <pageSetup paperSize="9" scale="15" orientation="landscape" r:id="rId1"/>
  <headerFooter>
    <oddHeader>&amp;L&amp;"Agency FB,Bold"&amp;36&amp;K000000
                                                                                        DAKHLIGA GUUD EE MIISAANIYADDA 2017 OO GOOBAYSAN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34" zoomScale="62" zoomScaleSheetLayoutView="62" workbookViewId="0">
      <selection activeCell="Q48" sqref="Q48"/>
    </sheetView>
  </sheetViews>
  <sheetFormatPr defaultRowHeight="27.95" customHeight="1"/>
  <cols>
    <col min="1" max="1" width="15.1640625" style="555" bestFit="1" customWidth="1"/>
    <col min="2" max="2" width="73.33203125" style="554" customWidth="1"/>
    <col min="3" max="9" width="9.33203125" style="554" hidden="1" customWidth="1"/>
    <col min="10" max="10" width="0.1640625" style="554" hidden="1" customWidth="1"/>
    <col min="11" max="11" width="27.5" style="554" hidden="1" customWidth="1"/>
    <col min="12" max="13" width="27.5" style="557" hidden="1" customWidth="1"/>
    <col min="14" max="15" width="30" style="557" hidden="1" customWidth="1"/>
    <col min="16" max="17" width="30" style="557" customWidth="1"/>
    <col min="18" max="18" width="30" style="557" bestFit="1" customWidth="1"/>
    <col min="19" max="16384" width="9.33203125" style="554"/>
  </cols>
  <sheetData>
    <row r="1" spans="1:18" ht="27.95" customHeight="1">
      <c r="A1" s="544" t="s">
        <v>39</v>
      </c>
      <c r="B1" s="545" t="s">
        <v>1000</v>
      </c>
      <c r="C1" s="478"/>
      <c r="D1" s="478"/>
      <c r="E1" s="478"/>
      <c r="F1" s="478"/>
      <c r="G1" s="478"/>
      <c r="H1" s="478"/>
      <c r="I1" s="478"/>
      <c r="J1" s="478"/>
      <c r="K1" s="478"/>
      <c r="L1" s="280"/>
      <c r="M1" s="280"/>
      <c r="N1" s="280"/>
      <c r="O1" s="280"/>
      <c r="P1" s="280"/>
      <c r="Q1" s="280"/>
      <c r="R1" s="280"/>
    </row>
    <row r="2" spans="1:18" ht="27.95" customHeight="1">
      <c r="A2" s="476" t="s">
        <v>25</v>
      </c>
      <c r="B2" s="303" t="s">
        <v>26</v>
      </c>
      <c r="C2" s="482" t="s">
        <v>43</v>
      </c>
      <c r="D2" s="482" t="s">
        <v>46</v>
      </c>
      <c r="E2" s="482" t="s">
        <v>55</v>
      </c>
      <c r="F2" s="482" t="s">
        <v>62</v>
      </c>
      <c r="G2" s="482" t="s">
        <v>101</v>
      </c>
      <c r="H2" s="482" t="s">
        <v>107</v>
      </c>
      <c r="I2" s="482" t="s">
        <v>118</v>
      </c>
      <c r="J2" s="482" t="s">
        <v>151</v>
      </c>
      <c r="K2" s="482" t="s">
        <v>257</v>
      </c>
      <c r="L2" s="286" t="s">
        <v>440</v>
      </c>
      <c r="M2" s="286" t="s">
        <v>806</v>
      </c>
      <c r="N2" s="286" t="s">
        <v>872</v>
      </c>
      <c r="O2" s="286" t="s">
        <v>973</v>
      </c>
      <c r="P2" s="286" t="s">
        <v>1160</v>
      </c>
      <c r="Q2" s="286" t="s">
        <v>1320</v>
      </c>
      <c r="R2" s="286" t="s">
        <v>56</v>
      </c>
    </row>
    <row r="3" spans="1:18" ht="27.95" customHeight="1">
      <c r="A3" s="476">
        <v>210</v>
      </c>
      <c r="B3" s="280" t="s">
        <v>137</v>
      </c>
      <c r="C3" s="478"/>
      <c r="D3" s="478"/>
      <c r="E3" s="478"/>
      <c r="F3" s="478"/>
      <c r="G3" s="478"/>
      <c r="H3" s="478"/>
      <c r="I3" s="478"/>
      <c r="J3" s="478"/>
      <c r="K3" s="478"/>
      <c r="L3" s="246"/>
      <c r="M3" s="246"/>
      <c r="N3" s="246"/>
      <c r="O3" s="246"/>
      <c r="P3" s="246"/>
      <c r="Q3" s="246"/>
      <c r="R3" s="246"/>
    </row>
    <row r="4" spans="1:18" ht="27.95" customHeight="1">
      <c r="A4" s="476">
        <v>2110</v>
      </c>
      <c r="B4" s="280" t="s">
        <v>213</v>
      </c>
      <c r="C4" s="274">
        <v>0</v>
      </c>
      <c r="D4" s="274">
        <v>45168000</v>
      </c>
      <c r="E4" s="274">
        <v>82272000</v>
      </c>
      <c r="F4" s="274">
        <v>82272000</v>
      </c>
      <c r="G4" s="274">
        <v>167590800</v>
      </c>
      <c r="H4" s="274">
        <f>135236400+4149600+27000000+3000000</f>
        <v>169386000</v>
      </c>
      <c r="I4" s="274">
        <f>169386000+6000000+4149600</f>
        <v>179535600</v>
      </c>
      <c r="J4" s="274"/>
      <c r="K4" s="274"/>
      <c r="L4" s="246"/>
      <c r="M4" s="246"/>
      <c r="N4" s="246"/>
      <c r="O4" s="246"/>
      <c r="P4" s="246"/>
      <c r="Q4" s="246"/>
      <c r="R4" s="246"/>
    </row>
    <row r="5" spans="1:18" ht="27.95" customHeight="1">
      <c r="A5" s="392">
        <v>21101</v>
      </c>
      <c r="B5" s="246" t="s">
        <v>404</v>
      </c>
      <c r="C5" s="274">
        <v>0</v>
      </c>
      <c r="D5" s="274">
        <v>24500000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f>530400000</f>
        <v>530400000</v>
      </c>
      <c r="K5" s="274">
        <v>1031097600</v>
      </c>
      <c r="L5" s="246">
        <v>1190217600</v>
      </c>
      <c r="M5" s="246">
        <v>1190217600</v>
      </c>
      <c r="N5" s="246">
        <v>1428261120</v>
      </c>
      <c r="O5" s="246">
        <v>2033268480</v>
      </c>
      <c r="P5" s="246">
        <v>2119659840</v>
      </c>
      <c r="Q5" s="246">
        <v>3037771584</v>
      </c>
      <c r="R5" s="246">
        <f>Q5-P5</f>
        <v>918111744</v>
      </c>
    </row>
    <row r="6" spans="1:18" ht="27.95" customHeight="1">
      <c r="A6" s="392">
        <v>22102</v>
      </c>
      <c r="B6" s="246" t="s">
        <v>370</v>
      </c>
      <c r="C6" s="246">
        <v>0</v>
      </c>
      <c r="D6" s="246">
        <v>10800000</v>
      </c>
      <c r="E6" s="246">
        <v>14400000</v>
      </c>
      <c r="F6" s="246">
        <v>14400000</v>
      </c>
      <c r="G6" s="246">
        <v>14400000</v>
      </c>
      <c r="H6" s="246">
        <f>14400000+16200000+720000</f>
        <v>31320000</v>
      </c>
      <c r="I6" s="246">
        <f>31320000+720000+3960000</f>
        <v>36000000</v>
      </c>
      <c r="J6" s="246">
        <v>30000000</v>
      </c>
      <c r="K6" s="246">
        <v>30000000</v>
      </c>
      <c r="L6" s="246">
        <v>0</v>
      </c>
      <c r="M6" s="246">
        <v>0</v>
      </c>
      <c r="N6" s="246">
        <v>0</v>
      </c>
      <c r="O6" s="246">
        <v>0</v>
      </c>
      <c r="P6" s="246">
        <v>0</v>
      </c>
      <c r="Q6" s="246">
        <v>0</v>
      </c>
      <c r="R6" s="246">
        <f t="shared" ref="R6:R48" si="0">Q6-P6</f>
        <v>0</v>
      </c>
    </row>
    <row r="7" spans="1:18" ht="27.95" customHeight="1">
      <c r="A7" s="392">
        <v>21103</v>
      </c>
      <c r="B7" s="246" t="s">
        <v>347</v>
      </c>
      <c r="C7" s="280">
        <v>0</v>
      </c>
      <c r="D7" s="280">
        <f>SUM(D4:D6)</f>
        <v>80468000</v>
      </c>
      <c r="E7" s="280">
        <f>SUM(E4:E6)</f>
        <v>96672000</v>
      </c>
      <c r="F7" s="280">
        <f>SUM(F4:F6)</f>
        <v>96672000</v>
      </c>
      <c r="G7" s="280">
        <f>SUM(G4:G6)</f>
        <v>181990800</v>
      </c>
      <c r="H7" s="280">
        <f>SUM(H4:H6)</f>
        <v>200706000</v>
      </c>
      <c r="I7" s="246">
        <v>0</v>
      </c>
      <c r="J7" s="246">
        <v>166800000</v>
      </c>
      <c r="K7" s="246">
        <v>166800000</v>
      </c>
      <c r="L7" s="246">
        <v>166800000</v>
      </c>
      <c r="M7" s="246">
        <v>166800000</v>
      </c>
      <c r="N7" s="246">
        <v>0</v>
      </c>
      <c r="O7" s="246">
        <v>166800000</v>
      </c>
      <c r="P7" s="246">
        <v>166800000</v>
      </c>
      <c r="Q7" s="840">
        <v>260400000</v>
      </c>
      <c r="R7" s="246">
        <f t="shared" si="0"/>
        <v>93600000</v>
      </c>
    </row>
    <row r="8" spans="1:18" ht="27.95" customHeight="1">
      <c r="A8" s="392">
        <v>21105</v>
      </c>
      <c r="B8" s="246" t="s">
        <v>526</v>
      </c>
      <c r="C8" s="280"/>
      <c r="D8" s="280"/>
      <c r="E8" s="280"/>
      <c r="F8" s="280"/>
      <c r="G8" s="280"/>
      <c r="H8" s="280"/>
      <c r="I8" s="246"/>
      <c r="J8" s="246"/>
      <c r="K8" s="246">
        <v>180000000</v>
      </c>
      <c r="L8" s="246">
        <v>500000000</v>
      </c>
      <c r="M8" s="246">
        <v>500000000</v>
      </c>
      <c r="N8" s="246">
        <v>500000000</v>
      </c>
      <c r="O8" s="246">
        <v>500000000</v>
      </c>
      <c r="P8" s="246">
        <v>500000000</v>
      </c>
      <c r="Q8" s="840">
        <v>600000000</v>
      </c>
      <c r="R8" s="246">
        <f t="shared" si="0"/>
        <v>100000000</v>
      </c>
    </row>
    <row r="9" spans="1:18" ht="27.95" customHeight="1">
      <c r="A9" s="392"/>
      <c r="B9" s="280" t="s">
        <v>92</v>
      </c>
      <c r="C9" s="280">
        <v>0</v>
      </c>
      <c r="D9" s="280" t="e">
        <f>SUM(#REF!)</f>
        <v>#REF!</v>
      </c>
      <c r="E9" s="280" t="e">
        <f>SUM(#REF!)</f>
        <v>#REF!</v>
      </c>
      <c r="F9" s="280" t="e">
        <f>SUM(#REF!)</f>
        <v>#REF!</v>
      </c>
      <c r="G9" s="280" t="e">
        <f>SUM(#REF!)</f>
        <v>#REF!</v>
      </c>
      <c r="H9" s="280" t="e">
        <f>SUM(#REF!)</f>
        <v>#REF!</v>
      </c>
      <c r="I9" s="246">
        <v>0</v>
      </c>
      <c r="J9" s="280">
        <f>SUM(J5:J7)</f>
        <v>727200000</v>
      </c>
      <c r="K9" s="280">
        <f t="shared" ref="K9:N9" si="1">SUM(K5:K8)</f>
        <v>1407897600</v>
      </c>
      <c r="L9" s="280">
        <f t="shared" si="1"/>
        <v>1857017600</v>
      </c>
      <c r="M9" s="280">
        <f t="shared" si="1"/>
        <v>1857017600</v>
      </c>
      <c r="N9" s="280">
        <f t="shared" si="1"/>
        <v>1928261120</v>
      </c>
      <c r="O9" s="280">
        <f>SUM(O5:O8)</f>
        <v>2700068480</v>
      </c>
      <c r="P9" s="280">
        <f>SUM(P5:P8)</f>
        <v>2786459840</v>
      </c>
      <c r="Q9" s="851">
        <f>SUM(Q5:Q8)</f>
        <v>3898171584</v>
      </c>
      <c r="R9" s="280">
        <f t="shared" si="0"/>
        <v>1111711744</v>
      </c>
    </row>
    <row r="10" spans="1:18" ht="27.95" customHeight="1">
      <c r="A10" s="392">
        <v>2120</v>
      </c>
      <c r="B10" s="280" t="s">
        <v>1240</v>
      </c>
      <c r="C10" s="280"/>
      <c r="D10" s="280"/>
      <c r="E10" s="280"/>
      <c r="F10" s="280"/>
      <c r="G10" s="280"/>
      <c r="H10" s="280"/>
      <c r="I10" s="246"/>
      <c r="J10" s="280"/>
      <c r="K10" s="280"/>
      <c r="L10" s="280"/>
      <c r="M10" s="280"/>
      <c r="N10" s="280"/>
      <c r="O10" s="280"/>
      <c r="P10" s="280"/>
      <c r="Q10" s="851"/>
      <c r="R10" s="246">
        <f t="shared" si="0"/>
        <v>0</v>
      </c>
    </row>
    <row r="11" spans="1:18" ht="27.95" customHeight="1">
      <c r="A11" s="392">
        <v>21204</v>
      </c>
      <c r="B11" s="246" t="s">
        <v>188</v>
      </c>
      <c r="C11" s="246">
        <v>0</v>
      </c>
      <c r="D11" s="246">
        <v>3000000</v>
      </c>
      <c r="E11" s="246">
        <v>8000000</v>
      </c>
      <c r="F11" s="246">
        <v>10000000</v>
      </c>
      <c r="G11" s="246">
        <v>7448000</v>
      </c>
      <c r="H11" s="246">
        <v>7448000</v>
      </c>
      <c r="I11" s="246">
        <v>2979200</v>
      </c>
      <c r="J11" s="246">
        <f>20000000/2</f>
        <v>10000000</v>
      </c>
      <c r="K11" s="246">
        <f>20000000/2*70%</f>
        <v>7000000</v>
      </c>
      <c r="L11" s="246">
        <f>20000000/2*70%</f>
        <v>7000000</v>
      </c>
      <c r="M11" s="246">
        <v>7000000</v>
      </c>
      <c r="N11" s="246">
        <v>7000000</v>
      </c>
      <c r="O11" s="246">
        <v>7000000</v>
      </c>
      <c r="P11" s="246">
        <v>7000000</v>
      </c>
      <c r="Q11" s="840">
        <v>7000000</v>
      </c>
      <c r="R11" s="246">
        <f t="shared" si="0"/>
        <v>0</v>
      </c>
    </row>
    <row r="12" spans="1:18" s="759" customFormat="1" ht="27.95" customHeight="1">
      <c r="A12" s="476"/>
      <c r="B12" s="280" t="s">
        <v>92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>
        <f>SUM(O11)</f>
        <v>7000000</v>
      </c>
      <c r="P12" s="280">
        <f>SUM(P11)</f>
        <v>7000000</v>
      </c>
      <c r="Q12" s="851">
        <f>SUM(Q11)</f>
        <v>7000000</v>
      </c>
      <c r="R12" s="280">
        <f t="shared" si="0"/>
        <v>0</v>
      </c>
    </row>
    <row r="13" spans="1:18" ht="27.95" customHeight="1">
      <c r="A13" s="476">
        <v>220</v>
      </c>
      <c r="B13" s="280" t="s">
        <v>225</v>
      </c>
      <c r="C13" s="246" t="s">
        <v>4</v>
      </c>
      <c r="D13" s="246"/>
      <c r="E13" s="246"/>
      <c r="F13" s="246"/>
      <c r="G13" s="246"/>
      <c r="H13" s="246"/>
      <c r="I13" s="246">
        <v>0</v>
      </c>
      <c r="J13" s="246"/>
      <c r="K13" s="246"/>
      <c r="L13" s="246"/>
      <c r="M13" s="246"/>
      <c r="N13" s="246"/>
      <c r="O13" s="246"/>
      <c r="P13" s="246"/>
      <c r="Q13" s="840"/>
      <c r="R13" s="246">
        <f t="shared" si="0"/>
        <v>0</v>
      </c>
    </row>
    <row r="14" spans="1:18" ht="27.95" customHeight="1">
      <c r="A14" s="476">
        <v>2210</v>
      </c>
      <c r="B14" s="280" t="s">
        <v>226</v>
      </c>
      <c r="C14" s="246">
        <v>0</v>
      </c>
      <c r="D14" s="246">
        <v>22600000</v>
      </c>
      <c r="E14" s="246">
        <v>0</v>
      </c>
      <c r="F14" s="246">
        <v>0</v>
      </c>
      <c r="G14" s="246">
        <v>0</v>
      </c>
      <c r="H14" s="246">
        <v>0</v>
      </c>
      <c r="I14" s="246">
        <v>7448000</v>
      </c>
      <c r="J14" s="246"/>
      <c r="K14" s="246"/>
      <c r="L14" s="246"/>
      <c r="M14" s="246"/>
      <c r="N14" s="246"/>
      <c r="O14" s="246"/>
      <c r="P14" s="246"/>
      <c r="Q14" s="840"/>
      <c r="R14" s="246">
        <f t="shared" si="0"/>
        <v>0</v>
      </c>
    </row>
    <row r="15" spans="1:18" ht="27.95" customHeight="1">
      <c r="A15" s="392">
        <v>22101</v>
      </c>
      <c r="B15" s="246" t="s">
        <v>33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7448000</v>
      </c>
      <c r="J15" s="246">
        <f>40000000/2</f>
        <v>20000000</v>
      </c>
      <c r="K15" s="246">
        <f>40000000/2*70%</f>
        <v>14000000</v>
      </c>
      <c r="L15" s="246">
        <f>40000000/2*70%</f>
        <v>14000000</v>
      </c>
      <c r="M15" s="246">
        <v>14000000</v>
      </c>
      <c r="N15" s="246">
        <v>35000000</v>
      </c>
      <c r="O15" s="246">
        <v>35000000</v>
      </c>
      <c r="P15" s="246">
        <v>35000000</v>
      </c>
      <c r="Q15" s="840">
        <v>35000000</v>
      </c>
      <c r="R15" s="246">
        <f t="shared" si="0"/>
        <v>0</v>
      </c>
    </row>
    <row r="16" spans="1:18" ht="27.95" customHeight="1">
      <c r="A16" s="392">
        <v>22102</v>
      </c>
      <c r="B16" s="246" t="s">
        <v>350</v>
      </c>
      <c r="C16" s="246"/>
      <c r="D16" s="246"/>
      <c r="E16" s="246"/>
      <c r="F16" s="246"/>
      <c r="G16" s="246"/>
      <c r="H16" s="246"/>
      <c r="I16" s="246"/>
      <c r="J16" s="246">
        <v>30000000</v>
      </c>
      <c r="K16" s="246">
        <f>30000000*70%</f>
        <v>21000000</v>
      </c>
      <c r="L16" s="246">
        <f>30000000*70%</f>
        <v>21000000</v>
      </c>
      <c r="M16" s="246">
        <v>21000000</v>
      </c>
      <c r="N16" s="246">
        <v>0</v>
      </c>
      <c r="O16" s="246">
        <v>0</v>
      </c>
      <c r="P16" s="246">
        <v>0</v>
      </c>
      <c r="Q16" s="840">
        <v>0</v>
      </c>
      <c r="R16" s="246">
        <f t="shared" si="0"/>
        <v>0</v>
      </c>
    </row>
    <row r="17" spans="1:18" ht="27.95" customHeight="1">
      <c r="A17" s="392">
        <v>22103</v>
      </c>
      <c r="B17" s="246" t="s">
        <v>125</v>
      </c>
      <c r="C17" s="246"/>
      <c r="D17" s="246"/>
      <c r="E17" s="246"/>
      <c r="F17" s="246"/>
      <c r="G17" s="246"/>
      <c r="H17" s="246"/>
      <c r="I17" s="246"/>
      <c r="J17" s="246">
        <v>20000000</v>
      </c>
      <c r="K17" s="246">
        <f>20000000*70%</f>
        <v>14000000</v>
      </c>
      <c r="L17" s="246"/>
      <c r="M17" s="246"/>
      <c r="N17" s="246"/>
      <c r="O17" s="246"/>
      <c r="P17" s="246"/>
      <c r="Q17" s="840"/>
      <c r="R17" s="246">
        <f t="shared" si="0"/>
        <v>0</v>
      </c>
    </row>
    <row r="18" spans="1:18" ht="27.95" customHeight="1">
      <c r="A18" s="392">
        <v>22104</v>
      </c>
      <c r="B18" s="246" t="s">
        <v>157</v>
      </c>
      <c r="C18" s="246"/>
      <c r="D18" s="246"/>
      <c r="E18" s="246"/>
      <c r="F18" s="246"/>
      <c r="G18" s="246"/>
      <c r="H18" s="246"/>
      <c r="I18" s="246">
        <v>37240000</v>
      </c>
      <c r="J18" s="246">
        <v>20000000</v>
      </c>
      <c r="K18" s="246">
        <f>20000000*70%</f>
        <v>14000000</v>
      </c>
      <c r="L18" s="246">
        <f>20000000*70%</f>
        <v>14000000</v>
      </c>
      <c r="M18" s="246">
        <v>14000000</v>
      </c>
      <c r="N18" s="246">
        <v>14000000</v>
      </c>
      <c r="O18" s="246">
        <v>14000000</v>
      </c>
      <c r="P18" s="246">
        <v>150000000</v>
      </c>
      <c r="Q18" s="840">
        <v>150000000</v>
      </c>
      <c r="R18" s="246">
        <f t="shared" si="0"/>
        <v>0</v>
      </c>
    </row>
    <row r="19" spans="1:18" ht="27.95" customHeight="1">
      <c r="A19" s="392">
        <v>22105</v>
      </c>
      <c r="B19" s="246" t="s">
        <v>351</v>
      </c>
      <c r="C19" s="246"/>
      <c r="D19" s="246"/>
      <c r="E19" s="246"/>
      <c r="F19" s="246"/>
      <c r="G19" s="246"/>
      <c r="H19" s="246"/>
      <c r="I19" s="246"/>
      <c r="J19" s="246">
        <v>15000000</v>
      </c>
      <c r="K19" s="246">
        <f>15000000*70%</f>
        <v>10500000</v>
      </c>
      <c r="L19" s="246">
        <v>72000000</v>
      </c>
      <c r="M19" s="246">
        <v>72000000</v>
      </c>
      <c r="N19" s="246">
        <v>72000000</v>
      </c>
      <c r="O19" s="246">
        <v>72000000</v>
      </c>
      <c r="P19" s="246">
        <v>72000000</v>
      </c>
      <c r="Q19" s="840">
        <v>72000000</v>
      </c>
      <c r="R19" s="246">
        <f t="shared" si="0"/>
        <v>0</v>
      </c>
    </row>
    <row r="20" spans="1:18" ht="27.95" customHeight="1">
      <c r="A20" s="392">
        <v>22107</v>
      </c>
      <c r="B20" s="246" t="s">
        <v>48</v>
      </c>
      <c r="C20" s="246">
        <v>0</v>
      </c>
      <c r="D20" s="246">
        <v>4000000</v>
      </c>
      <c r="E20" s="246">
        <v>8000000</v>
      </c>
      <c r="F20" s="246">
        <v>17000000</v>
      </c>
      <c r="G20" s="246">
        <v>12661600</v>
      </c>
      <c r="H20" s="246">
        <v>25000000</v>
      </c>
      <c r="I20" s="280">
        <f>SUM(I9:I18)</f>
        <v>55115200</v>
      </c>
      <c r="J20" s="246">
        <f>20000000/2</f>
        <v>10000000</v>
      </c>
      <c r="K20" s="246">
        <f>20000000/2*70%</f>
        <v>7000000</v>
      </c>
      <c r="L20" s="246">
        <f>K20*70%</f>
        <v>4900000</v>
      </c>
      <c r="M20" s="246">
        <v>4900000</v>
      </c>
      <c r="N20" s="246">
        <v>4900000</v>
      </c>
      <c r="O20" s="246">
        <v>4900000</v>
      </c>
      <c r="P20" s="246">
        <v>4900000</v>
      </c>
      <c r="Q20" s="840">
        <v>4900000</v>
      </c>
      <c r="R20" s="246">
        <f t="shared" si="0"/>
        <v>0</v>
      </c>
    </row>
    <row r="21" spans="1:18" ht="27.95" customHeight="1">
      <c r="A21" s="392">
        <v>22109</v>
      </c>
      <c r="B21" s="246" t="s">
        <v>136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/>
      <c r="J21" s="246">
        <f>20000000/2</f>
        <v>10000000</v>
      </c>
      <c r="K21" s="246">
        <f>20000000/2*70%</f>
        <v>7000000</v>
      </c>
      <c r="L21" s="246">
        <f>20000000/2*70%</f>
        <v>7000000</v>
      </c>
      <c r="M21" s="246">
        <v>7000000</v>
      </c>
      <c r="N21" s="246">
        <v>7000000</v>
      </c>
      <c r="O21" s="246">
        <v>7000000</v>
      </c>
      <c r="P21" s="246">
        <v>7000000</v>
      </c>
      <c r="Q21" s="840">
        <v>7000000</v>
      </c>
      <c r="R21" s="246">
        <f t="shared" si="0"/>
        <v>0</v>
      </c>
    </row>
    <row r="22" spans="1:18" ht="27.95" customHeight="1">
      <c r="A22" s="392">
        <v>22112</v>
      </c>
      <c r="B22" s="246" t="s">
        <v>35</v>
      </c>
      <c r="C22" s="246" t="s">
        <v>4</v>
      </c>
      <c r="D22" s="246">
        <v>0</v>
      </c>
      <c r="E22" s="246">
        <v>0</v>
      </c>
      <c r="F22" s="246">
        <v>3000000</v>
      </c>
      <c r="G22" s="246">
        <v>2234400</v>
      </c>
      <c r="H22" s="246">
        <v>2234400</v>
      </c>
      <c r="I22" s="246">
        <v>0</v>
      </c>
      <c r="J22" s="246">
        <v>10000000</v>
      </c>
      <c r="K22" s="246">
        <f>10000000*70%</f>
        <v>7000000</v>
      </c>
      <c r="L22" s="246">
        <f>10000000*70%</f>
        <v>7000000</v>
      </c>
      <c r="M22" s="246">
        <v>7000000</v>
      </c>
      <c r="N22" s="246">
        <v>7000000</v>
      </c>
      <c r="O22" s="246">
        <v>7000000</v>
      </c>
      <c r="P22" s="246">
        <v>107000000</v>
      </c>
      <c r="Q22" s="840">
        <v>107000000</v>
      </c>
      <c r="R22" s="246">
        <f t="shared" si="0"/>
        <v>0</v>
      </c>
    </row>
    <row r="23" spans="1:18" ht="27.95" customHeight="1">
      <c r="A23" s="392">
        <v>22113</v>
      </c>
      <c r="B23" s="246" t="s">
        <v>392</v>
      </c>
      <c r="C23" s="246"/>
      <c r="D23" s="246"/>
      <c r="E23" s="246"/>
      <c r="F23" s="246"/>
      <c r="G23" s="246"/>
      <c r="H23" s="246"/>
      <c r="I23" s="246"/>
      <c r="J23" s="246">
        <v>20000000</v>
      </c>
      <c r="K23" s="246">
        <f>20000000*70%</f>
        <v>14000000</v>
      </c>
      <c r="L23" s="246">
        <f>20000000*70%</f>
        <v>14000000</v>
      </c>
      <c r="M23" s="246">
        <v>14000000</v>
      </c>
      <c r="N23" s="246">
        <v>14000000</v>
      </c>
      <c r="O23" s="246">
        <v>14000000</v>
      </c>
      <c r="P23" s="246">
        <v>14000000</v>
      </c>
      <c r="Q23" s="840">
        <v>14000000</v>
      </c>
      <c r="R23" s="246">
        <f t="shared" si="0"/>
        <v>0</v>
      </c>
    </row>
    <row r="24" spans="1:18" ht="27.95" customHeight="1">
      <c r="A24" s="392">
        <v>22116</v>
      </c>
      <c r="B24" s="246" t="s">
        <v>353</v>
      </c>
      <c r="C24" s="246"/>
      <c r="D24" s="246"/>
      <c r="E24" s="246"/>
      <c r="F24" s="246"/>
      <c r="G24" s="246"/>
      <c r="H24" s="246"/>
      <c r="I24" s="246"/>
      <c r="J24" s="246">
        <v>80000000</v>
      </c>
      <c r="K24" s="246">
        <f>80000000*70%</f>
        <v>56000000</v>
      </c>
      <c r="L24" s="246">
        <f>80000000*70%</f>
        <v>56000000</v>
      </c>
      <c r="M24" s="246">
        <v>56000000</v>
      </c>
      <c r="N24" s="246">
        <v>56000000</v>
      </c>
      <c r="O24" s="246">
        <v>56000000</v>
      </c>
      <c r="P24" s="246">
        <v>56000000</v>
      </c>
      <c r="Q24" s="840">
        <v>56000000</v>
      </c>
      <c r="R24" s="246">
        <f t="shared" si="0"/>
        <v>0</v>
      </c>
    </row>
    <row r="25" spans="1:18" ht="27.95" customHeight="1">
      <c r="A25" s="392">
        <v>22132</v>
      </c>
      <c r="B25" s="246" t="s">
        <v>187</v>
      </c>
      <c r="C25" s="280">
        <v>0</v>
      </c>
      <c r="D25" s="280">
        <f>SUM(D20:D22)</f>
        <v>4000000</v>
      </c>
      <c r="E25" s="280">
        <f>SUM(E20:E22)</f>
        <v>8000000</v>
      </c>
      <c r="F25" s="280">
        <f>SUM(F20:F22)</f>
        <v>20000000</v>
      </c>
      <c r="G25" s="280">
        <f>SUM(G20:G22)</f>
        <v>14896000</v>
      </c>
      <c r="H25" s="280">
        <f>SUM(H20:H22)</f>
        <v>27234400</v>
      </c>
      <c r="I25" s="246">
        <v>11172000</v>
      </c>
      <c r="J25" s="246">
        <v>100000000</v>
      </c>
      <c r="K25" s="246">
        <f>100000000*70%</f>
        <v>70000000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840">
        <v>0</v>
      </c>
      <c r="R25" s="246">
        <f t="shared" si="0"/>
        <v>0</v>
      </c>
    </row>
    <row r="26" spans="1:18" ht="27.95" customHeight="1">
      <c r="A26" s="392">
        <v>22137</v>
      </c>
      <c r="B26" s="246" t="s">
        <v>1055</v>
      </c>
      <c r="C26" s="280"/>
      <c r="D26" s="280"/>
      <c r="E26" s="280"/>
      <c r="F26" s="280"/>
      <c r="G26" s="280"/>
      <c r="H26" s="280"/>
      <c r="I26" s="246"/>
      <c r="J26" s="246"/>
      <c r="K26" s="246"/>
      <c r="L26" s="246"/>
      <c r="M26" s="246"/>
      <c r="N26" s="246"/>
      <c r="O26" s="246">
        <v>400000000</v>
      </c>
      <c r="P26" s="246">
        <v>400000000</v>
      </c>
      <c r="Q26" s="840">
        <v>500000000</v>
      </c>
      <c r="R26" s="246">
        <f t="shared" si="0"/>
        <v>100000000</v>
      </c>
    </row>
    <row r="27" spans="1:18" ht="27.95" customHeight="1">
      <c r="A27" s="392"/>
      <c r="B27" s="280" t="s">
        <v>92</v>
      </c>
      <c r="C27" s="246" t="s">
        <v>4</v>
      </c>
      <c r="D27" s="246"/>
      <c r="E27" s="246"/>
      <c r="F27" s="246"/>
      <c r="G27" s="246"/>
      <c r="H27" s="246"/>
      <c r="I27" s="246">
        <v>3724000</v>
      </c>
      <c r="J27" s="280">
        <f t="shared" ref="J27:N27" si="2">SUM(J15:J25)</f>
        <v>335000000</v>
      </c>
      <c r="K27" s="280">
        <f t="shared" si="2"/>
        <v>234500000</v>
      </c>
      <c r="L27" s="280">
        <f t="shared" si="2"/>
        <v>209900000</v>
      </c>
      <c r="M27" s="280">
        <f t="shared" si="2"/>
        <v>209900000</v>
      </c>
      <c r="N27" s="280">
        <f t="shared" si="2"/>
        <v>209900000</v>
      </c>
      <c r="O27" s="280">
        <f>SUM(O15:O26)</f>
        <v>609900000</v>
      </c>
      <c r="P27" s="280">
        <f>SUM(P15:P26)</f>
        <v>845900000</v>
      </c>
      <c r="Q27" s="851">
        <f>SUM(Q15:Q26)</f>
        <v>945900000</v>
      </c>
      <c r="R27" s="280">
        <f t="shared" si="0"/>
        <v>100000000</v>
      </c>
    </row>
    <row r="28" spans="1:18" ht="27.95" customHeight="1">
      <c r="A28" s="476">
        <v>2220</v>
      </c>
      <c r="B28" s="280" t="s">
        <v>240</v>
      </c>
      <c r="C28" s="246">
        <v>0</v>
      </c>
      <c r="D28" s="246">
        <v>6000000</v>
      </c>
      <c r="E28" s="246">
        <v>7200000</v>
      </c>
      <c r="F28" s="246">
        <v>10000000</v>
      </c>
      <c r="G28" s="246">
        <v>11172000</v>
      </c>
      <c r="H28" s="246">
        <v>11172000</v>
      </c>
      <c r="I28" s="280">
        <f>SUM(I22:I27)</f>
        <v>14896000</v>
      </c>
      <c r="J28" s="280"/>
      <c r="K28" s="280"/>
      <c r="L28" s="280"/>
      <c r="M28" s="280"/>
      <c r="N28" s="280"/>
      <c r="O28" s="280"/>
      <c r="P28" s="280"/>
      <c r="Q28" s="851"/>
      <c r="R28" s="246">
        <f t="shared" si="0"/>
        <v>0</v>
      </c>
    </row>
    <row r="29" spans="1:18" ht="27.95" customHeight="1">
      <c r="A29" s="392">
        <v>22201</v>
      </c>
      <c r="B29" s="246" t="s">
        <v>354</v>
      </c>
      <c r="C29" s="246"/>
      <c r="D29" s="246"/>
      <c r="E29" s="246"/>
      <c r="F29" s="246"/>
      <c r="G29" s="246"/>
      <c r="H29" s="246"/>
      <c r="I29" s="280"/>
      <c r="J29" s="246">
        <f>40000000/2</f>
        <v>20000000</v>
      </c>
      <c r="K29" s="246">
        <f>40000000/2*70%</f>
        <v>14000000</v>
      </c>
      <c r="L29" s="246">
        <f>40000000/2*70%</f>
        <v>14000000</v>
      </c>
      <c r="M29" s="246">
        <v>14000000</v>
      </c>
      <c r="N29" s="246">
        <v>14000000</v>
      </c>
      <c r="O29" s="246">
        <v>14000000</v>
      </c>
      <c r="P29" s="246">
        <v>140000000</v>
      </c>
      <c r="Q29" s="840">
        <v>170000000</v>
      </c>
      <c r="R29" s="246">
        <f t="shared" si="0"/>
        <v>30000000</v>
      </c>
    </row>
    <row r="30" spans="1:18" ht="27.95" customHeight="1">
      <c r="A30" s="392">
        <v>22202</v>
      </c>
      <c r="B30" s="246" t="s">
        <v>133</v>
      </c>
      <c r="C30" s="246">
        <v>0</v>
      </c>
      <c r="D30" s="246">
        <v>17000000</v>
      </c>
      <c r="E30" s="246">
        <v>9734400</v>
      </c>
      <c r="F30" s="246">
        <v>20000000</v>
      </c>
      <c r="G30" s="246">
        <v>18620000</v>
      </c>
      <c r="H30" s="246">
        <v>30000000</v>
      </c>
      <c r="I30" s="246"/>
      <c r="J30" s="246">
        <v>100000000</v>
      </c>
      <c r="K30" s="246">
        <f>100000000*70%</f>
        <v>70000000</v>
      </c>
      <c r="L30" s="246">
        <f>K30</f>
        <v>70000000</v>
      </c>
      <c r="M30" s="246">
        <v>90000000</v>
      </c>
      <c r="N30" s="246">
        <v>110000000</v>
      </c>
      <c r="O30" s="246">
        <v>200000000</v>
      </c>
      <c r="P30" s="246">
        <v>200000000</v>
      </c>
      <c r="Q30" s="840">
        <v>200000000</v>
      </c>
      <c r="R30" s="246">
        <f t="shared" si="0"/>
        <v>0</v>
      </c>
    </row>
    <row r="31" spans="1:18" ht="27.95" customHeight="1">
      <c r="A31" s="392">
        <v>22203</v>
      </c>
      <c r="B31" s="246" t="s">
        <v>127</v>
      </c>
      <c r="C31" s="246">
        <v>0</v>
      </c>
      <c r="D31" s="246">
        <v>0</v>
      </c>
      <c r="E31" s="246">
        <v>14592000</v>
      </c>
      <c r="F31" s="246">
        <v>0</v>
      </c>
      <c r="G31" s="246">
        <v>0</v>
      </c>
      <c r="H31" s="246">
        <v>10000000</v>
      </c>
      <c r="I31" s="246">
        <v>0</v>
      </c>
      <c r="J31" s="246">
        <f>40000000*70%/2</f>
        <v>14000000</v>
      </c>
      <c r="K31" s="246">
        <f>40000000*70%/2</f>
        <v>14000000</v>
      </c>
      <c r="L31" s="246">
        <f>40000000*70%/2</f>
        <v>14000000</v>
      </c>
      <c r="M31" s="246">
        <v>14000000</v>
      </c>
      <c r="N31" s="246">
        <v>14000000</v>
      </c>
      <c r="O31" s="246">
        <v>14000000</v>
      </c>
      <c r="P31" s="246">
        <v>14000000</v>
      </c>
      <c r="Q31" s="840">
        <v>14000000</v>
      </c>
      <c r="R31" s="246">
        <f t="shared" si="0"/>
        <v>0</v>
      </c>
    </row>
    <row r="32" spans="1:18" ht="27.95" customHeight="1">
      <c r="A32" s="392">
        <v>22204</v>
      </c>
      <c r="B32" s="246" t="s">
        <v>128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100000000</v>
      </c>
      <c r="K32" s="246">
        <f>100000000*70%</f>
        <v>70000000</v>
      </c>
      <c r="L32" s="246">
        <f>100000000*70%</f>
        <v>70000000</v>
      </c>
      <c r="M32" s="246">
        <v>70000000</v>
      </c>
      <c r="N32" s="246">
        <v>70000000</v>
      </c>
      <c r="O32" s="246">
        <v>70000000</v>
      </c>
      <c r="P32" s="246">
        <v>70000000</v>
      </c>
      <c r="Q32" s="840">
        <v>70000000</v>
      </c>
      <c r="R32" s="246">
        <f t="shared" si="0"/>
        <v>0</v>
      </c>
    </row>
    <row r="33" spans="1:18" ht="27.95" customHeight="1">
      <c r="A33" s="392">
        <v>22208</v>
      </c>
      <c r="B33" s="246" t="s">
        <v>437</v>
      </c>
      <c r="C33" s="246"/>
      <c r="D33" s="246"/>
      <c r="E33" s="246"/>
      <c r="F33" s="246"/>
      <c r="G33" s="246"/>
      <c r="H33" s="246"/>
      <c r="I33" s="246"/>
      <c r="J33" s="246">
        <f>295356000/2</f>
        <v>147678000</v>
      </c>
      <c r="K33" s="246">
        <v>665105246</v>
      </c>
      <c r="L33" s="246">
        <v>747216926</v>
      </c>
      <c r="M33" s="246">
        <v>747216926</v>
      </c>
      <c r="N33" s="246">
        <v>747216926</v>
      </c>
      <c r="O33" s="246">
        <v>891066172</v>
      </c>
      <c r="P33" s="246">
        <v>935020060</v>
      </c>
      <c r="Q33" s="840">
        <v>1174767552</v>
      </c>
      <c r="R33" s="246">
        <f t="shared" si="0"/>
        <v>239747492</v>
      </c>
    </row>
    <row r="34" spans="1:18" ht="27.95" customHeight="1">
      <c r="A34" s="392">
        <v>22210</v>
      </c>
      <c r="B34" s="246" t="s">
        <v>336</v>
      </c>
      <c r="C34" s="246"/>
      <c r="D34" s="246"/>
      <c r="E34" s="246"/>
      <c r="F34" s="246"/>
      <c r="G34" s="246"/>
      <c r="H34" s="246"/>
      <c r="I34" s="246"/>
      <c r="J34" s="246">
        <f>20000000/2</f>
        <v>10000000</v>
      </c>
      <c r="K34" s="246">
        <f>20000000/2*70%</f>
        <v>7000000</v>
      </c>
      <c r="L34" s="246">
        <f>20000000/2*70%</f>
        <v>7000000</v>
      </c>
      <c r="M34" s="246">
        <v>7000000</v>
      </c>
      <c r="N34" s="246">
        <v>7000000</v>
      </c>
      <c r="O34" s="246">
        <v>7000000</v>
      </c>
      <c r="P34" s="246">
        <v>7000000</v>
      </c>
      <c r="Q34" s="840">
        <v>7000000</v>
      </c>
      <c r="R34" s="246">
        <f t="shared" si="0"/>
        <v>0</v>
      </c>
    </row>
    <row r="35" spans="1:18" ht="27.95" customHeight="1">
      <c r="A35" s="392"/>
      <c r="B35" s="280" t="s">
        <v>92</v>
      </c>
      <c r="C35" s="246">
        <v>0</v>
      </c>
      <c r="D35" s="246">
        <v>0</v>
      </c>
      <c r="E35" s="246"/>
      <c r="F35" s="246">
        <v>0</v>
      </c>
      <c r="G35" s="246">
        <v>0</v>
      </c>
      <c r="H35" s="246">
        <v>0</v>
      </c>
      <c r="I35" s="246">
        <v>4468800</v>
      </c>
      <c r="J35" s="280">
        <f t="shared" ref="J35:O35" si="3">SUM(J29:J34)</f>
        <v>391678000</v>
      </c>
      <c r="K35" s="280">
        <f t="shared" si="3"/>
        <v>840105246</v>
      </c>
      <c r="L35" s="280">
        <f t="shared" si="3"/>
        <v>922216926</v>
      </c>
      <c r="M35" s="280">
        <f t="shared" si="3"/>
        <v>942216926</v>
      </c>
      <c r="N35" s="280">
        <f t="shared" si="3"/>
        <v>962216926</v>
      </c>
      <c r="O35" s="280">
        <f t="shared" si="3"/>
        <v>1196066172</v>
      </c>
      <c r="P35" s="280">
        <f>SUM(P29:P34)</f>
        <v>1366020060</v>
      </c>
      <c r="Q35" s="851">
        <f>SUM(Q29:Q34)</f>
        <v>1635767552</v>
      </c>
      <c r="R35" s="280">
        <f t="shared" si="0"/>
        <v>269747492</v>
      </c>
    </row>
    <row r="36" spans="1:18" ht="27.95" customHeight="1">
      <c r="A36" s="476">
        <v>2230</v>
      </c>
      <c r="B36" s="280" t="s">
        <v>130</v>
      </c>
      <c r="C36" s="246">
        <v>0</v>
      </c>
      <c r="D36" s="246">
        <v>0</v>
      </c>
      <c r="E36" s="246"/>
      <c r="F36" s="246">
        <v>0</v>
      </c>
      <c r="G36" s="246">
        <v>0</v>
      </c>
      <c r="H36" s="246">
        <v>0</v>
      </c>
      <c r="I36" s="280">
        <f>SUM(I31:I35)</f>
        <v>4468800</v>
      </c>
      <c r="J36" s="280"/>
      <c r="K36" s="280"/>
      <c r="L36" s="280"/>
      <c r="M36" s="280"/>
      <c r="N36" s="280"/>
      <c r="O36" s="280"/>
      <c r="P36" s="280"/>
      <c r="Q36" s="851"/>
      <c r="R36" s="246">
        <f t="shared" si="0"/>
        <v>0</v>
      </c>
    </row>
    <row r="37" spans="1:18" ht="27.95" customHeight="1">
      <c r="A37" s="392">
        <v>22301</v>
      </c>
      <c r="B37" s="246" t="s">
        <v>49</v>
      </c>
      <c r="C37" s="246">
        <v>0</v>
      </c>
      <c r="D37" s="246">
        <v>0</v>
      </c>
      <c r="E37" s="246"/>
      <c r="F37" s="246">
        <v>0</v>
      </c>
      <c r="G37" s="246">
        <v>0</v>
      </c>
      <c r="H37" s="246">
        <v>0</v>
      </c>
      <c r="I37" s="246">
        <v>0</v>
      </c>
      <c r="J37" s="246">
        <f>20000000*70%/2</f>
        <v>7000000</v>
      </c>
      <c r="K37" s="246">
        <f>20000000*70%/2*70%</f>
        <v>4900000</v>
      </c>
      <c r="L37" s="246">
        <f>20000000*70%/2*70%</f>
        <v>4900000</v>
      </c>
      <c r="M37" s="246">
        <v>4900000</v>
      </c>
      <c r="N37" s="246">
        <v>4900000</v>
      </c>
      <c r="O37" s="246">
        <v>4900000</v>
      </c>
      <c r="P37" s="246">
        <v>4900000</v>
      </c>
      <c r="Q37" s="840">
        <v>100000000</v>
      </c>
      <c r="R37" s="246">
        <f t="shared" si="0"/>
        <v>95100000</v>
      </c>
    </row>
    <row r="38" spans="1:18" ht="27.95" customHeight="1">
      <c r="A38" s="392">
        <v>22302</v>
      </c>
      <c r="B38" s="246" t="s">
        <v>249</v>
      </c>
      <c r="C38" s="246">
        <v>0</v>
      </c>
      <c r="D38" s="246">
        <v>5000000</v>
      </c>
      <c r="E38" s="246">
        <v>6400000</v>
      </c>
      <c r="F38" s="246">
        <v>10000000</v>
      </c>
      <c r="G38" s="246">
        <v>7448000</v>
      </c>
      <c r="H38" s="246">
        <v>7448000</v>
      </c>
      <c r="I38" s="246">
        <v>12661600</v>
      </c>
      <c r="J38" s="246">
        <f>10000000/2</f>
        <v>5000000</v>
      </c>
      <c r="K38" s="246">
        <f>10000000/2*70%</f>
        <v>3500000</v>
      </c>
      <c r="L38" s="246">
        <f>10000000/2*70%</f>
        <v>3500000</v>
      </c>
      <c r="M38" s="246">
        <v>3500000</v>
      </c>
      <c r="N38" s="246">
        <v>3500000</v>
      </c>
      <c r="O38" s="246">
        <v>3500000</v>
      </c>
      <c r="P38" s="246">
        <v>3500000</v>
      </c>
      <c r="Q38" s="840">
        <v>3500000</v>
      </c>
      <c r="R38" s="246">
        <f t="shared" si="0"/>
        <v>0</v>
      </c>
    </row>
    <row r="39" spans="1:18" ht="27.95" customHeight="1">
      <c r="A39" s="392"/>
      <c r="B39" s="280" t="s">
        <v>92</v>
      </c>
      <c r="C39" s="246"/>
      <c r="D39" s="246"/>
      <c r="E39" s="246"/>
      <c r="F39" s="246">
        <v>0</v>
      </c>
      <c r="G39" s="246">
        <v>0</v>
      </c>
      <c r="H39" s="246">
        <v>0</v>
      </c>
      <c r="I39" s="280">
        <f t="shared" ref="I39:N39" si="4">SUM(I37:I38)</f>
        <v>12661600</v>
      </c>
      <c r="J39" s="280">
        <f t="shared" si="4"/>
        <v>12000000</v>
      </c>
      <c r="K39" s="280">
        <f t="shared" si="4"/>
        <v>8400000</v>
      </c>
      <c r="L39" s="280">
        <f t="shared" si="4"/>
        <v>8400000</v>
      </c>
      <c r="M39" s="280">
        <f t="shared" si="4"/>
        <v>8400000</v>
      </c>
      <c r="N39" s="280">
        <f t="shared" si="4"/>
        <v>8400000</v>
      </c>
      <c r="O39" s="280">
        <f>SUM(O37:O38)</f>
        <v>8400000</v>
      </c>
      <c r="P39" s="280">
        <f>SUM(P37:P38)</f>
        <v>8400000</v>
      </c>
      <c r="Q39" s="851">
        <f>SUM(Q37:Q38)</f>
        <v>103500000</v>
      </c>
      <c r="R39" s="280">
        <f t="shared" si="0"/>
        <v>95100000</v>
      </c>
    </row>
    <row r="40" spans="1:18" ht="27.95" customHeight="1">
      <c r="A40" s="476">
        <v>270</v>
      </c>
      <c r="B40" s="280" t="s">
        <v>253</v>
      </c>
      <c r="C40" s="280">
        <v>0</v>
      </c>
      <c r="D40" s="280">
        <f>SUM(D28:D38)</f>
        <v>28000000</v>
      </c>
      <c r="E40" s="280">
        <f>SUM(E28:E38)</f>
        <v>37926400</v>
      </c>
      <c r="F40" s="280">
        <f>SUM(F28:F39)</f>
        <v>40000000</v>
      </c>
      <c r="G40" s="280">
        <f>SUM(G28:G39)</f>
        <v>37240000</v>
      </c>
      <c r="H40" s="280">
        <f>SUM(H28:H39)</f>
        <v>58620000</v>
      </c>
      <c r="I40" s="280" t="e">
        <f>I39+I36+I28+I20+#REF!</f>
        <v>#REF!</v>
      </c>
      <c r="J40" s="280"/>
      <c r="K40" s="280"/>
      <c r="L40" s="280"/>
      <c r="M40" s="280"/>
      <c r="N40" s="280"/>
      <c r="O40" s="280"/>
      <c r="P40" s="280"/>
      <c r="Q40" s="851"/>
      <c r="R40" s="246">
        <f t="shared" si="0"/>
        <v>0</v>
      </c>
    </row>
    <row r="41" spans="1:18" ht="27.95" customHeight="1">
      <c r="A41" s="476">
        <v>2710</v>
      </c>
      <c r="B41" s="280" t="s">
        <v>252</v>
      </c>
      <c r="C41" s="246"/>
      <c r="D41" s="246">
        <v>0</v>
      </c>
      <c r="E41" s="246"/>
      <c r="F41" s="246"/>
      <c r="G41" s="246"/>
      <c r="H41" s="246"/>
      <c r="I41" s="246"/>
      <c r="J41" s="305"/>
      <c r="K41" s="305"/>
      <c r="L41" s="246"/>
      <c r="M41" s="246"/>
      <c r="N41" s="246"/>
      <c r="O41" s="246"/>
      <c r="P41" s="246"/>
      <c r="Q41" s="840"/>
      <c r="R41" s="246">
        <f t="shared" si="0"/>
        <v>0</v>
      </c>
    </row>
    <row r="42" spans="1:18" ht="27.95" customHeight="1">
      <c r="A42" s="392">
        <v>27601</v>
      </c>
      <c r="B42" s="246" t="s">
        <v>264</v>
      </c>
      <c r="C42" s="246"/>
      <c r="D42" s="246" t="e">
        <f>#REF!-D41</f>
        <v>#REF!</v>
      </c>
      <c r="E42" s="246"/>
      <c r="F42" s="246"/>
      <c r="G42" s="246"/>
      <c r="H42" s="246"/>
      <c r="I42" s="246"/>
      <c r="J42" s="246">
        <v>30000000</v>
      </c>
      <c r="K42" s="246">
        <f>30000000*70%</f>
        <v>21000000</v>
      </c>
      <c r="L42" s="246">
        <v>0</v>
      </c>
      <c r="M42" s="246">
        <v>24000000</v>
      </c>
      <c r="N42" s="246">
        <v>24000000</v>
      </c>
      <c r="O42" s="246">
        <v>24000000</v>
      </c>
      <c r="P42" s="246">
        <v>24000000</v>
      </c>
      <c r="Q42" s="840">
        <v>24000000</v>
      </c>
      <c r="R42" s="246">
        <f t="shared" si="0"/>
        <v>0</v>
      </c>
    </row>
    <row r="43" spans="1:18" ht="27.95" customHeight="1">
      <c r="A43" s="392">
        <v>27402</v>
      </c>
      <c r="B43" s="246" t="s">
        <v>265</v>
      </c>
      <c r="C43" s="292"/>
      <c r="D43" s="292"/>
      <c r="E43" s="292"/>
      <c r="F43" s="292"/>
      <c r="G43" s="292"/>
      <c r="H43" s="292"/>
      <c r="I43" s="292"/>
      <c r="J43" s="246">
        <f>216380000/2</f>
        <v>108190000</v>
      </c>
      <c r="K43" s="246">
        <f>216380000/2*70%</f>
        <v>75733000</v>
      </c>
      <c r="L43" s="246">
        <v>210000000</v>
      </c>
      <c r="M43" s="246"/>
      <c r="N43" s="246">
        <v>150000000</v>
      </c>
      <c r="O43" s="246">
        <v>0</v>
      </c>
      <c r="P43" s="246">
        <v>150000000</v>
      </c>
      <c r="Q43" s="840">
        <v>300000000</v>
      </c>
      <c r="R43" s="246">
        <f t="shared" si="0"/>
        <v>150000000</v>
      </c>
    </row>
    <row r="44" spans="1:18" ht="27.95" customHeight="1">
      <c r="A44" s="392">
        <v>27502</v>
      </c>
      <c r="B44" s="246" t="s">
        <v>148</v>
      </c>
      <c r="C44" s="292"/>
      <c r="D44" s="292"/>
      <c r="E44" s="292"/>
      <c r="F44" s="292"/>
      <c r="G44" s="292"/>
      <c r="H44" s="292"/>
      <c r="I44" s="292"/>
      <c r="J44" s="290">
        <f>5000000/2</f>
        <v>2500000</v>
      </c>
      <c r="K44" s="290">
        <f>5000000/2*70%</f>
        <v>1750000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840">
        <v>0</v>
      </c>
      <c r="R44" s="246">
        <f t="shared" si="0"/>
        <v>0</v>
      </c>
    </row>
    <row r="45" spans="1:18" ht="27.95" customHeight="1">
      <c r="A45" s="392">
        <v>27604</v>
      </c>
      <c r="B45" s="246" t="s">
        <v>149</v>
      </c>
      <c r="C45" s="292"/>
      <c r="D45" s="292"/>
      <c r="E45" s="292"/>
      <c r="F45" s="292"/>
      <c r="G45" s="292"/>
      <c r="H45" s="292"/>
      <c r="I45" s="292"/>
      <c r="J45" s="290">
        <f>5000000/2</f>
        <v>2500000</v>
      </c>
      <c r="K45" s="290">
        <f>5000000/2*70%</f>
        <v>1750000</v>
      </c>
      <c r="L45" s="246">
        <v>0</v>
      </c>
      <c r="M45" s="246">
        <v>0</v>
      </c>
      <c r="N45" s="246">
        <v>0</v>
      </c>
      <c r="O45" s="246">
        <v>0</v>
      </c>
      <c r="P45" s="246">
        <v>0</v>
      </c>
      <c r="Q45" s="840">
        <v>0</v>
      </c>
      <c r="R45" s="246">
        <f t="shared" si="0"/>
        <v>0</v>
      </c>
    </row>
    <row r="46" spans="1:18" ht="27.95" customHeight="1">
      <c r="A46" s="392">
        <v>27607</v>
      </c>
      <c r="B46" s="246" t="s">
        <v>1341</v>
      </c>
      <c r="C46" s="292"/>
      <c r="D46" s="292"/>
      <c r="E46" s="292"/>
      <c r="F46" s="292"/>
      <c r="G46" s="292"/>
      <c r="H46" s="292"/>
      <c r="I46" s="292"/>
      <c r="J46" s="290"/>
      <c r="K46" s="290"/>
      <c r="L46" s="246"/>
      <c r="M46" s="246"/>
      <c r="N46" s="246"/>
      <c r="O46" s="246"/>
      <c r="P46" s="246"/>
      <c r="Q46" s="840">
        <v>120000000</v>
      </c>
      <c r="R46" s="246">
        <f t="shared" si="0"/>
        <v>120000000</v>
      </c>
    </row>
    <row r="47" spans="1:18" ht="27.95" customHeight="1">
      <c r="A47" s="392"/>
      <c r="B47" s="280" t="s">
        <v>92</v>
      </c>
      <c r="C47" s="292"/>
      <c r="D47" s="292"/>
      <c r="E47" s="292"/>
      <c r="F47" s="292"/>
      <c r="G47" s="292"/>
      <c r="H47" s="292"/>
      <c r="I47" s="292"/>
      <c r="J47" s="291">
        <f t="shared" ref="J47:N47" si="5">SUM(J42:J45)</f>
        <v>143190000</v>
      </c>
      <c r="K47" s="291">
        <f t="shared" si="5"/>
        <v>100233000</v>
      </c>
      <c r="L47" s="280">
        <f t="shared" si="5"/>
        <v>210000000</v>
      </c>
      <c r="M47" s="280">
        <f t="shared" si="5"/>
        <v>24000000</v>
      </c>
      <c r="N47" s="280">
        <f t="shared" si="5"/>
        <v>174000000</v>
      </c>
      <c r="O47" s="280">
        <f>SUM(O42:O45)</f>
        <v>24000000</v>
      </c>
      <c r="P47" s="280">
        <f>SUM(P42:P45)</f>
        <v>174000000</v>
      </c>
      <c r="Q47" s="851">
        <f>SUM(Q42:Q46)</f>
        <v>444000000</v>
      </c>
      <c r="R47" s="280">
        <f t="shared" si="0"/>
        <v>270000000</v>
      </c>
    </row>
    <row r="48" spans="1:18" ht="27.95" customHeight="1">
      <c r="A48" s="392"/>
      <c r="B48" s="280" t="s">
        <v>37</v>
      </c>
      <c r="C48" s="292"/>
      <c r="D48" s="292"/>
      <c r="E48" s="292"/>
      <c r="F48" s="292"/>
      <c r="G48" s="292"/>
      <c r="H48" s="292"/>
      <c r="I48" s="292"/>
      <c r="J48" s="291">
        <f>J47+J39+J35+J27+J9</f>
        <v>1609068000</v>
      </c>
      <c r="K48" s="291">
        <f>K47+K39+K35+K27+K9</f>
        <v>2591135846</v>
      </c>
      <c r="L48" s="280">
        <f>L47+L39+L35+L27+L9</f>
        <v>3207534526</v>
      </c>
      <c r="M48" s="280">
        <f>M47+M39+M35+M27+M9</f>
        <v>3041534526</v>
      </c>
      <c r="N48" s="280">
        <f>N47+N39+N35+N27+N9</f>
        <v>3282778046</v>
      </c>
      <c r="O48" s="280">
        <f>O47+O39+O35+O27+O9+O12</f>
        <v>4545434652</v>
      </c>
      <c r="P48" s="280">
        <f>P47+P39+P35+P27+P9+P12</f>
        <v>5187779900</v>
      </c>
      <c r="Q48" s="851">
        <f>Q47+Q39+Q35+Q27+Q9+Q12</f>
        <v>7034339136</v>
      </c>
      <c r="R48" s="280">
        <f t="shared" si="0"/>
        <v>1846559236</v>
      </c>
    </row>
    <row r="50" spans="12:18" ht="27.95" customHeight="1">
      <c r="L50" s="556"/>
      <c r="M50" s="556"/>
      <c r="N50" s="556"/>
      <c r="O50" s="556"/>
      <c r="P50" s="556"/>
      <c r="Q50" s="556"/>
      <c r="R50" s="556"/>
    </row>
  </sheetData>
  <pageMargins left="0.7" right="0.42" top="0.48" bottom="0.26" header="0.17" footer="0.17"/>
  <pageSetup scale="55" orientation="portrait" r:id="rId1"/>
  <headerFooter>
    <oddHeader>&amp;C&amp;"Algerian,Bold"&amp;36LAANTA SOCDAALKA</oddHeader>
    <oddFooter>&amp;R&amp;"Times New Roman,Bold"&amp;12 24</oddFooter>
  </headerFooter>
  <ignoredErrors>
    <ignoredError sqref="K3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7"/>
  <sheetViews>
    <sheetView view="pageBreakPreview" topLeftCell="A26" zoomScale="60" workbookViewId="0">
      <selection activeCell="R46" sqref="R46"/>
    </sheetView>
  </sheetViews>
  <sheetFormatPr defaultRowHeight="27.95" customHeight="1"/>
  <cols>
    <col min="1" max="1" width="18.33203125" style="777" bestFit="1" customWidth="1"/>
    <col min="2" max="2" width="75.6640625" style="748" customWidth="1"/>
    <col min="3" max="3" width="17.1640625" style="748" hidden="1" customWidth="1"/>
    <col min="4" max="4" width="16.83203125" style="748" hidden="1" customWidth="1"/>
    <col min="5" max="5" width="18" style="748" hidden="1" customWidth="1"/>
    <col min="6" max="6" width="15.6640625" style="748" hidden="1" customWidth="1"/>
    <col min="7" max="7" width="18.83203125" style="748" hidden="1" customWidth="1"/>
    <col min="8" max="8" width="17.5" style="748" hidden="1" customWidth="1"/>
    <col min="9" max="10" width="1.5" style="748" hidden="1" customWidth="1"/>
    <col min="11" max="11" width="2" style="748" hidden="1" customWidth="1"/>
    <col min="12" max="12" width="21.1640625" style="748" hidden="1" customWidth="1"/>
    <col min="13" max="13" width="20.1640625" style="748" hidden="1" customWidth="1"/>
    <col min="14" max="14" width="0.1640625" style="748" hidden="1" customWidth="1"/>
    <col min="15" max="15" width="24.5" style="748" hidden="1" customWidth="1"/>
    <col min="16" max="16" width="16.83203125" style="748" hidden="1" customWidth="1"/>
    <col min="17" max="17" width="26.6640625" style="748" customWidth="1"/>
    <col min="18" max="18" width="29.5" style="748" bestFit="1" customWidth="1"/>
    <col min="19" max="19" width="27.5" style="748" customWidth="1"/>
    <col min="20" max="20" width="13.83203125" style="748" customWidth="1"/>
    <col min="21" max="16384" width="9.33203125" style="748"/>
  </cols>
  <sheetData>
    <row r="1" spans="1:24" ht="27.95" customHeight="1">
      <c r="A1" s="544" t="s">
        <v>39</v>
      </c>
      <c r="B1" s="380" t="s">
        <v>1267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24" ht="27.95" customHeight="1">
      <c r="A2" s="544" t="s">
        <v>25</v>
      </c>
      <c r="B2" s="380" t="s">
        <v>25</v>
      </c>
      <c r="C2" s="548" t="s">
        <v>26</v>
      </c>
      <c r="D2" s="548" t="s">
        <v>2</v>
      </c>
      <c r="E2" s="548" t="s">
        <v>43</v>
      </c>
      <c r="F2" s="548" t="s">
        <v>46</v>
      </c>
      <c r="G2" s="548" t="s">
        <v>55</v>
      </c>
      <c r="H2" s="548" t="s">
        <v>62</v>
      </c>
      <c r="I2" s="548" t="s">
        <v>103</v>
      </c>
      <c r="J2" s="548" t="s">
        <v>107</v>
      </c>
      <c r="K2" s="548" t="s">
        <v>115</v>
      </c>
      <c r="L2" s="548" t="s">
        <v>151</v>
      </c>
      <c r="M2" s="548" t="s">
        <v>259</v>
      </c>
      <c r="N2" s="548" t="s">
        <v>814</v>
      </c>
      <c r="O2" s="548" t="s">
        <v>874</v>
      </c>
      <c r="P2" s="548" t="s">
        <v>973</v>
      </c>
      <c r="Q2" s="548" t="s">
        <v>1160</v>
      </c>
      <c r="R2" s="548" t="s">
        <v>1320</v>
      </c>
      <c r="S2" s="548" t="s">
        <v>56</v>
      </c>
    </row>
    <row r="3" spans="1:24" ht="27.95" customHeight="1">
      <c r="A3" s="476">
        <v>2110</v>
      </c>
      <c r="B3" s="381" t="s">
        <v>27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24" ht="27.95" customHeight="1">
      <c r="A4" s="392">
        <v>21101</v>
      </c>
      <c r="B4" s="273" t="s">
        <v>28</v>
      </c>
      <c r="C4" s="273">
        <v>1157000</v>
      </c>
      <c r="D4" s="273">
        <v>0</v>
      </c>
      <c r="E4" s="273">
        <v>0</v>
      </c>
      <c r="F4" s="273">
        <v>0</v>
      </c>
      <c r="G4" s="273">
        <v>0</v>
      </c>
      <c r="H4" s="273">
        <v>0</v>
      </c>
      <c r="I4" s="273">
        <v>0</v>
      </c>
      <c r="J4" s="273">
        <v>0</v>
      </c>
      <c r="K4" s="273">
        <v>73429200</v>
      </c>
      <c r="L4" s="273">
        <f>73429200+16598400</f>
        <v>90027600</v>
      </c>
      <c r="M4" s="273">
        <f>shaqaalaha2011!H42+3600000</f>
        <v>186276000</v>
      </c>
      <c r="N4" s="273">
        <v>189103200</v>
      </c>
      <c r="O4" s="273">
        <v>229170240</v>
      </c>
      <c r="P4" s="273"/>
      <c r="Q4" s="273">
        <v>672122880</v>
      </c>
      <c r="R4" s="273">
        <v>1764322560</v>
      </c>
      <c r="S4" s="273">
        <f>R4-Q4</f>
        <v>1092199680</v>
      </c>
    </row>
    <row r="5" spans="1:24" ht="27.95" customHeight="1">
      <c r="A5" s="392">
        <v>21102</v>
      </c>
      <c r="B5" s="273" t="s">
        <v>29</v>
      </c>
      <c r="C5" s="273">
        <v>10800000</v>
      </c>
      <c r="D5" s="273">
        <v>8400000</v>
      </c>
      <c r="E5" s="273">
        <v>8400000</v>
      </c>
      <c r="F5" s="273">
        <v>8400000</v>
      </c>
      <c r="G5" s="273">
        <v>26088000</v>
      </c>
      <c r="H5" s="273">
        <v>26088000</v>
      </c>
      <c r="I5" s="273">
        <v>26088000</v>
      </c>
      <c r="J5" s="273">
        <v>26088000</v>
      </c>
      <c r="K5" s="273">
        <v>0</v>
      </c>
      <c r="L5" s="273">
        <v>0</v>
      </c>
      <c r="M5" s="273">
        <v>0</v>
      </c>
      <c r="N5" s="273">
        <v>54000000</v>
      </c>
      <c r="O5" s="273">
        <v>114000000</v>
      </c>
      <c r="P5" s="273"/>
      <c r="Q5" s="775"/>
      <c r="R5" s="775"/>
      <c r="S5" s="273">
        <f t="shared" ref="S5:S45" si="0">R5-Q5</f>
        <v>0</v>
      </c>
    </row>
    <row r="6" spans="1:24" ht="27.95" customHeight="1">
      <c r="A6" s="392">
        <v>21103</v>
      </c>
      <c r="B6" s="273" t="s">
        <v>565</v>
      </c>
      <c r="C6" s="273"/>
      <c r="D6" s="273"/>
      <c r="E6" s="273"/>
      <c r="F6" s="273"/>
      <c r="G6" s="273"/>
      <c r="H6" s="273"/>
      <c r="I6" s="273"/>
      <c r="J6" s="273">
        <v>0</v>
      </c>
      <c r="K6" s="273">
        <v>26088000</v>
      </c>
      <c r="L6" s="273">
        <f>26088000+2400000</f>
        <v>28488000</v>
      </c>
      <c r="M6" s="273">
        <f>26088000+2400000</f>
        <v>28488000</v>
      </c>
      <c r="N6" s="273">
        <v>57600000</v>
      </c>
      <c r="O6" s="273">
        <v>108000000</v>
      </c>
      <c r="P6" s="273"/>
      <c r="Q6" s="775">
        <v>1312017120</v>
      </c>
      <c r="R6" s="873">
        <v>3376712640</v>
      </c>
      <c r="S6" s="273">
        <f t="shared" si="0"/>
        <v>2064695520</v>
      </c>
    </row>
    <row r="7" spans="1:24" ht="27.95" customHeight="1">
      <c r="A7" s="392">
        <v>21105</v>
      </c>
      <c r="B7" s="273" t="s">
        <v>1268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>
        <v>36000000</v>
      </c>
      <c r="N7" s="273">
        <f>M7</f>
        <v>36000000</v>
      </c>
      <c r="O7" s="273">
        <f>N7</f>
        <v>36000000</v>
      </c>
      <c r="P7" s="273"/>
      <c r="Q7" s="775">
        <v>163080000</v>
      </c>
      <c r="R7" s="873">
        <v>163080000</v>
      </c>
      <c r="S7" s="273">
        <f t="shared" si="0"/>
        <v>0</v>
      </c>
    </row>
    <row r="8" spans="1:24" ht="27.95" customHeight="1">
      <c r="A8" s="476">
        <v>2120</v>
      </c>
      <c r="B8" s="298" t="s">
        <v>5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98">
        <f>SUM(K4:K6)</f>
        <v>99517200</v>
      </c>
      <c r="L8" s="298">
        <f>SUM(L4:L6)</f>
        <v>118515600</v>
      </c>
      <c r="M8" s="298">
        <f>M7+M6+M5+M4</f>
        <v>250764000</v>
      </c>
      <c r="N8" s="298">
        <f>SUM(N4:N7)</f>
        <v>336703200</v>
      </c>
      <c r="O8" s="298">
        <f>SUM(O4:O7)</f>
        <v>487170240</v>
      </c>
      <c r="P8" s="298"/>
      <c r="Q8" s="298">
        <f>SUM(Q4:Q7)</f>
        <v>2147220000</v>
      </c>
      <c r="R8" s="256">
        <f>SUM(R4:R7)</f>
        <v>5304115200</v>
      </c>
      <c r="S8" s="298">
        <f t="shared" si="0"/>
        <v>3156895200</v>
      </c>
    </row>
    <row r="9" spans="1:24" ht="27.95" customHeight="1">
      <c r="A9" s="476">
        <v>2120</v>
      </c>
      <c r="B9" s="280" t="s">
        <v>1240</v>
      </c>
      <c r="C9" s="273"/>
      <c r="D9" s="273"/>
      <c r="E9" s="273"/>
      <c r="F9" s="273"/>
      <c r="G9" s="273"/>
      <c r="H9" s="273"/>
      <c r="I9" s="273"/>
      <c r="J9" s="273"/>
      <c r="K9" s="298"/>
      <c r="L9" s="298"/>
      <c r="M9" s="298"/>
      <c r="N9" s="298"/>
      <c r="O9" s="298"/>
      <c r="P9" s="298"/>
      <c r="Q9" s="298"/>
      <c r="R9" s="256"/>
      <c r="S9" s="273">
        <f t="shared" si="0"/>
        <v>0</v>
      </c>
    </row>
    <row r="10" spans="1:24" ht="27.95" customHeight="1">
      <c r="A10" s="392">
        <v>21204</v>
      </c>
      <c r="B10" s="246" t="s">
        <v>188</v>
      </c>
      <c r="C10" s="273"/>
      <c r="D10" s="273"/>
      <c r="E10" s="273"/>
      <c r="F10" s="273"/>
      <c r="G10" s="273"/>
      <c r="H10" s="273"/>
      <c r="I10" s="273"/>
      <c r="J10" s="273"/>
      <c r="K10" s="298"/>
      <c r="L10" s="298"/>
      <c r="M10" s="298"/>
      <c r="N10" s="298"/>
      <c r="O10" s="298"/>
      <c r="P10" s="298"/>
      <c r="Q10" s="298"/>
      <c r="R10" s="256"/>
      <c r="S10" s="273">
        <f t="shared" si="0"/>
        <v>0</v>
      </c>
    </row>
    <row r="11" spans="1:24" ht="27.95" customHeight="1">
      <c r="A11" s="476"/>
      <c r="B11" s="280" t="s">
        <v>92</v>
      </c>
      <c r="C11" s="273"/>
      <c r="D11" s="273"/>
      <c r="E11" s="273"/>
      <c r="F11" s="273"/>
      <c r="G11" s="273"/>
      <c r="H11" s="273"/>
      <c r="I11" s="273"/>
      <c r="J11" s="273"/>
      <c r="K11" s="298"/>
      <c r="L11" s="298"/>
      <c r="M11" s="298"/>
      <c r="N11" s="298"/>
      <c r="O11" s="298"/>
      <c r="P11" s="298"/>
      <c r="Q11" s="298"/>
      <c r="R11" s="256"/>
      <c r="S11" s="273">
        <f t="shared" si="0"/>
        <v>0</v>
      </c>
    </row>
    <row r="12" spans="1:24" s="776" customFormat="1" ht="27.95" customHeight="1">
      <c r="A12" s="392">
        <v>220</v>
      </c>
      <c r="B12" s="298" t="s">
        <v>384</v>
      </c>
      <c r="C12" s="298">
        <f t="shared" ref="C12:J12" si="1">SUM(C4:C8)</f>
        <v>11957000</v>
      </c>
      <c r="D12" s="298">
        <f t="shared" si="1"/>
        <v>8400000</v>
      </c>
      <c r="E12" s="298">
        <f t="shared" si="1"/>
        <v>8400000</v>
      </c>
      <c r="F12" s="298">
        <f t="shared" si="1"/>
        <v>8400000</v>
      </c>
      <c r="G12" s="298">
        <f t="shared" si="1"/>
        <v>26088000</v>
      </c>
      <c r="H12" s="298">
        <f t="shared" si="1"/>
        <v>26088000</v>
      </c>
      <c r="I12" s="298">
        <f t="shared" si="1"/>
        <v>26088000</v>
      </c>
      <c r="J12" s="298">
        <f t="shared" si="1"/>
        <v>26088000</v>
      </c>
      <c r="K12" s="298"/>
      <c r="L12" s="298"/>
      <c r="M12" s="298"/>
      <c r="N12" s="298" t="s">
        <v>4</v>
      </c>
      <c r="O12" s="298" t="s">
        <v>4</v>
      </c>
      <c r="P12" s="298"/>
      <c r="Q12" s="298"/>
      <c r="R12" s="256"/>
      <c r="S12" s="273">
        <f t="shared" si="0"/>
        <v>0</v>
      </c>
    </row>
    <row r="13" spans="1:24" s="776" customFormat="1" ht="27.95" customHeight="1">
      <c r="A13" s="392">
        <v>2210</v>
      </c>
      <c r="B13" s="298" t="s">
        <v>385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56"/>
      <c r="S13" s="273">
        <f t="shared" si="0"/>
        <v>0</v>
      </c>
      <c r="X13" s="748"/>
    </row>
    <row r="14" spans="1:24" ht="27.95" customHeight="1">
      <c r="A14" s="392">
        <v>22101</v>
      </c>
      <c r="B14" s="273" t="s">
        <v>159</v>
      </c>
      <c r="C14" s="273"/>
      <c r="D14" s="273"/>
      <c r="E14" s="273"/>
      <c r="F14" s="273"/>
      <c r="G14" s="273"/>
      <c r="H14" s="273"/>
      <c r="I14" s="273"/>
      <c r="J14" s="273"/>
      <c r="K14" s="273">
        <v>14896000</v>
      </c>
      <c r="L14" s="273">
        <v>14896000</v>
      </c>
      <c r="M14" s="273">
        <f>14896000*70%</f>
        <v>10427200</v>
      </c>
      <c r="N14" s="273">
        <v>0</v>
      </c>
      <c r="O14" s="273">
        <v>0</v>
      </c>
      <c r="P14" s="273"/>
      <c r="Q14" s="273"/>
      <c r="R14" s="247"/>
      <c r="S14" s="273">
        <f t="shared" si="0"/>
        <v>0</v>
      </c>
    </row>
    <row r="15" spans="1:24" ht="27.95" customHeight="1">
      <c r="A15" s="392">
        <v>22102</v>
      </c>
      <c r="B15" s="273" t="s">
        <v>124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/>
      <c r="Q15" s="273"/>
      <c r="R15" s="247"/>
      <c r="S15" s="273">
        <f t="shared" si="0"/>
        <v>0</v>
      </c>
    </row>
    <row r="16" spans="1:24" ht="27.95" customHeight="1">
      <c r="A16" s="392">
        <v>22103</v>
      </c>
      <c r="B16" s="273" t="s">
        <v>158</v>
      </c>
      <c r="C16" s="273">
        <v>35246000</v>
      </c>
      <c r="D16" s="273">
        <v>23700000</v>
      </c>
      <c r="E16" s="273">
        <v>23700000</v>
      </c>
      <c r="F16" s="273">
        <v>23700000</v>
      </c>
      <c r="G16" s="273">
        <v>35985600</v>
      </c>
      <c r="H16" s="273">
        <v>44982000</v>
      </c>
      <c r="I16" s="273">
        <v>44982000</v>
      </c>
      <c r="J16" s="273">
        <v>62000000</v>
      </c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73"/>
      <c r="Q16" s="273"/>
      <c r="R16" s="247"/>
      <c r="S16" s="273">
        <f t="shared" si="0"/>
        <v>0</v>
      </c>
    </row>
    <row r="17" spans="1:19" ht="27.95" customHeight="1">
      <c r="A17" s="392">
        <v>22104</v>
      </c>
      <c r="B17" s="273" t="s">
        <v>157</v>
      </c>
      <c r="C17" s="273">
        <v>6388200</v>
      </c>
      <c r="D17" s="273">
        <v>4411000</v>
      </c>
      <c r="E17" s="273">
        <v>4411000</v>
      </c>
      <c r="F17" s="273">
        <v>4411000</v>
      </c>
      <c r="G17" s="273">
        <v>14400000</v>
      </c>
      <c r="H17" s="273">
        <v>18000000</v>
      </c>
      <c r="I17" s="273">
        <v>13406400</v>
      </c>
      <c r="J17" s="273">
        <v>13406400</v>
      </c>
      <c r="K17" s="273">
        <v>10427200</v>
      </c>
      <c r="L17" s="273">
        <v>16025200</v>
      </c>
      <c r="M17" s="273">
        <v>11217640</v>
      </c>
      <c r="N17" s="273">
        <v>7000000</v>
      </c>
      <c r="O17" s="273">
        <v>17000000</v>
      </c>
      <c r="P17" s="273"/>
      <c r="Q17" s="273">
        <v>50000000</v>
      </c>
      <c r="R17" s="247">
        <v>50000000</v>
      </c>
      <c r="S17" s="273">
        <f t="shared" si="0"/>
        <v>0</v>
      </c>
    </row>
    <row r="18" spans="1:19" ht="27.95" customHeight="1">
      <c r="A18" s="392">
        <v>22106</v>
      </c>
      <c r="B18" s="273" t="s">
        <v>126</v>
      </c>
      <c r="C18" s="273"/>
      <c r="D18" s="273"/>
      <c r="E18" s="273"/>
      <c r="F18" s="273"/>
      <c r="G18" s="273"/>
      <c r="H18" s="273"/>
      <c r="I18" s="273"/>
      <c r="J18" s="273"/>
      <c r="K18" s="273">
        <v>18620000</v>
      </c>
      <c r="L18" s="273">
        <v>20620000</v>
      </c>
      <c r="M18" s="273">
        <f>20620000*70%</f>
        <v>14434000</v>
      </c>
      <c r="N18" s="273">
        <v>0</v>
      </c>
      <c r="O18" s="273">
        <v>0</v>
      </c>
      <c r="P18" s="273"/>
      <c r="Q18" s="273">
        <v>300000000</v>
      </c>
      <c r="R18" s="247">
        <v>300000000</v>
      </c>
      <c r="S18" s="273">
        <f t="shared" si="0"/>
        <v>0</v>
      </c>
    </row>
    <row r="19" spans="1:19" ht="27.95" customHeight="1">
      <c r="A19" s="392">
        <v>22107</v>
      </c>
      <c r="B19" s="273" t="s">
        <v>156</v>
      </c>
      <c r="C19" s="273">
        <v>0</v>
      </c>
      <c r="D19" s="273">
        <v>0</v>
      </c>
      <c r="E19" s="547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7000000</v>
      </c>
      <c r="K19" s="273">
        <v>4468800</v>
      </c>
      <c r="L19" s="273">
        <v>7468800</v>
      </c>
      <c r="M19" s="273">
        <f>L19*70%</f>
        <v>5228160</v>
      </c>
      <c r="N19" s="273">
        <v>0</v>
      </c>
      <c r="O19" s="273">
        <v>0</v>
      </c>
      <c r="P19" s="273"/>
      <c r="Q19" s="273"/>
      <c r="R19" s="247"/>
      <c r="S19" s="273">
        <f t="shared" si="0"/>
        <v>0</v>
      </c>
    </row>
    <row r="20" spans="1:19" ht="27.95" customHeight="1">
      <c r="A20" s="392">
        <v>22112</v>
      </c>
      <c r="B20" s="273" t="s">
        <v>1342</v>
      </c>
      <c r="C20" s="273"/>
      <c r="D20" s="273"/>
      <c r="E20" s="547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47">
        <v>156000000</v>
      </c>
      <c r="S20" s="273">
        <f t="shared" si="0"/>
        <v>156000000</v>
      </c>
    </row>
    <row r="21" spans="1:19" ht="27.95" customHeight="1">
      <c r="A21" s="392">
        <v>22118</v>
      </c>
      <c r="B21" s="273" t="s">
        <v>164</v>
      </c>
      <c r="C21" s="273"/>
      <c r="D21" s="273"/>
      <c r="E21" s="273"/>
      <c r="F21" s="273"/>
      <c r="G21" s="273"/>
      <c r="H21" s="273"/>
      <c r="I21" s="273"/>
      <c r="J21" s="273"/>
      <c r="K21" s="273">
        <v>44688000</v>
      </c>
      <c r="L21" s="273">
        <v>100000000</v>
      </c>
      <c r="M21" s="273">
        <f>100000000*70%</f>
        <v>70000000</v>
      </c>
      <c r="N21" s="273">
        <v>10000000</v>
      </c>
      <c r="O21" s="273">
        <v>110000000</v>
      </c>
      <c r="P21" s="273"/>
      <c r="Q21" s="273"/>
      <c r="R21" s="247"/>
      <c r="S21" s="273">
        <f t="shared" si="0"/>
        <v>0</v>
      </c>
    </row>
    <row r="22" spans="1:19" ht="27.95" customHeight="1">
      <c r="A22" s="392">
        <v>22125</v>
      </c>
      <c r="B22" s="273" t="s">
        <v>817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>
        <v>0</v>
      </c>
      <c r="Q22" s="273">
        <v>100000000</v>
      </c>
      <c r="R22" s="247">
        <v>100000000</v>
      </c>
      <c r="S22" s="273">
        <f t="shared" si="0"/>
        <v>0</v>
      </c>
    </row>
    <row r="23" spans="1:19" ht="27.95" customHeight="1">
      <c r="A23" s="392">
        <v>22137</v>
      </c>
      <c r="B23" s="273" t="s">
        <v>163</v>
      </c>
      <c r="C23" s="273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/>
      <c r="Q23" s="273"/>
      <c r="R23" s="247"/>
      <c r="S23" s="273">
        <f t="shared" si="0"/>
        <v>0</v>
      </c>
    </row>
    <row r="24" spans="1:19" ht="27.95" customHeight="1">
      <c r="A24" s="392"/>
      <c r="B24" s="298" t="s">
        <v>5</v>
      </c>
      <c r="C24" s="273"/>
      <c r="D24" s="273"/>
      <c r="E24" s="273"/>
      <c r="F24" s="273">
        <v>0</v>
      </c>
      <c r="G24" s="273">
        <v>0</v>
      </c>
      <c r="H24" s="273">
        <v>0</v>
      </c>
      <c r="I24" s="273">
        <v>0</v>
      </c>
      <c r="J24" s="273">
        <v>0</v>
      </c>
      <c r="K24" s="298">
        <f>SUM(K14:K23)</f>
        <v>93100000</v>
      </c>
      <c r="L24" s="298">
        <f>SUM(L14:L23)</f>
        <v>159010000</v>
      </c>
      <c r="M24" s="298">
        <f>SUM(M14:M23)</f>
        <v>111307000</v>
      </c>
      <c r="N24" s="298">
        <f>SUM(N14:N23)</f>
        <v>17000000</v>
      </c>
      <c r="O24" s="298">
        <f>SUM(O14:O23)</f>
        <v>127000000</v>
      </c>
      <c r="P24" s="298">
        <f>SUM(P21:P23)</f>
        <v>0</v>
      </c>
      <c r="Q24" s="298">
        <f>SUM(Q14:Q23)</f>
        <v>450000000</v>
      </c>
      <c r="R24" s="256">
        <f>SUM(R14:R23)</f>
        <v>606000000</v>
      </c>
      <c r="S24" s="298">
        <f t="shared" si="0"/>
        <v>156000000</v>
      </c>
    </row>
    <row r="25" spans="1:19" s="776" customFormat="1" ht="27.95" customHeight="1">
      <c r="A25" s="476">
        <v>2220</v>
      </c>
      <c r="B25" s="298" t="s">
        <v>131</v>
      </c>
      <c r="C25" s="298">
        <f>SUM(C23:C23)</f>
        <v>0</v>
      </c>
      <c r="D25" s="298">
        <f>SUM(D23:D23)</f>
        <v>0</v>
      </c>
      <c r="E25" s="298">
        <f>SUM(E23:E23)</f>
        <v>0</v>
      </c>
      <c r="F25" s="298">
        <v>0</v>
      </c>
      <c r="G25" s="298">
        <f>SUM(G23:G24)</f>
        <v>0</v>
      </c>
      <c r="H25" s="298">
        <f>SUM(H23:H24)</f>
        <v>0</v>
      </c>
      <c r="I25" s="298">
        <v>0</v>
      </c>
      <c r="J25" s="298">
        <v>0</v>
      </c>
      <c r="K25" s="298"/>
      <c r="L25" s="298"/>
      <c r="M25" s="298"/>
      <c r="N25" s="298"/>
      <c r="O25" s="298"/>
      <c r="P25" s="298"/>
      <c r="Q25" s="298"/>
      <c r="R25" s="256"/>
      <c r="S25" s="273">
        <f t="shared" si="0"/>
        <v>0</v>
      </c>
    </row>
    <row r="26" spans="1:19" ht="27.95" customHeight="1">
      <c r="A26" s="392">
        <v>22201</v>
      </c>
      <c r="B26" s="273" t="s">
        <v>1269</v>
      </c>
      <c r="C26" s="273"/>
      <c r="D26" s="273"/>
      <c r="E26" s="273"/>
      <c r="F26" s="273"/>
      <c r="G26" s="273"/>
      <c r="H26" s="273"/>
      <c r="I26" s="273"/>
      <c r="J26" s="273"/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73"/>
      <c r="Q26" s="273">
        <v>792000000</v>
      </c>
      <c r="R26" s="247">
        <v>1292000000</v>
      </c>
      <c r="S26" s="273">
        <f t="shared" si="0"/>
        <v>500000000</v>
      </c>
    </row>
    <row r="27" spans="1:19" ht="27.95" customHeight="1">
      <c r="A27" s="392">
        <v>22202</v>
      </c>
      <c r="B27" s="273" t="s">
        <v>133</v>
      </c>
      <c r="C27" s="273">
        <v>2475000</v>
      </c>
      <c r="D27" s="273">
        <v>4000000</v>
      </c>
      <c r="E27" s="273">
        <v>4000000</v>
      </c>
      <c r="F27" s="273">
        <v>7000000</v>
      </c>
      <c r="G27" s="273">
        <v>12000000</v>
      </c>
      <c r="H27" s="273">
        <v>15000000</v>
      </c>
      <c r="I27" s="273">
        <v>14896000</v>
      </c>
      <c r="J27" s="273">
        <v>38000000</v>
      </c>
      <c r="K27" s="273">
        <v>44982000</v>
      </c>
      <c r="L27" s="273">
        <v>120000000</v>
      </c>
      <c r="M27" s="273">
        <f>L27*70%</f>
        <v>84000000</v>
      </c>
      <c r="N27" s="273">
        <v>70000000</v>
      </c>
      <c r="O27" s="273">
        <v>120000000</v>
      </c>
      <c r="P27" s="273"/>
      <c r="Q27" s="273"/>
      <c r="R27" s="247"/>
      <c r="S27" s="273">
        <f t="shared" si="0"/>
        <v>0</v>
      </c>
    </row>
    <row r="28" spans="1:19" ht="27.95" customHeight="1">
      <c r="A28" s="392">
        <v>22203</v>
      </c>
      <c r="B28" s="273" t="s">
        <v>127</v>
      </c>
      <c r="C28" s="273">
        <v>990000</v>
      </c>
      <c r="D28" s="273">
        <v>3000000</v>
      </c>
      <c r="E28" s="273">
        <v>3000000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13406400</v>
      </c>
      <c r="L28" s="273">
        <v>13406400</v>
      </c>
      <c r="M28" s="273">
        <f>L28*70%</f>
        <v>9384480</v>
      </c>
      <c r="N28" s="273">
        <f>M28</f>
        <v>9384480</v>
      </c>
      <c r="O28" s="273">
        <f>N28</f>
        <v>9384480</v>
      </c>
      <c r="P28" s="273"/>
      <c r="Q28" s="273">
        <v>45300000</v>
      </c>
      <c r="R28" s="247">
        <v>45300000</v>
      </c>
      <c r="S28" s="273">
        <f t="shared" si="0"/>
        <v>0</v>
      </c>
    </row>
    <row r="29" spans="1:19" ht="27.95" customHeight="1">
      <c r="A29" s="392"/>
      <c r="B29" s="298" t="s">
        <v>92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98">
        <f>SUM(K26:K28)</f>
        <v>58388400</v>
      </c>
      <c r="L29" s="298">
        <f>SUM(L26:L28)</f>
        <v>133406400</v>
      </c>
      <c r="M29" s="298">
        <f>SUM(M26:M28)</f>
        <v>93384480</v>
      </c>
      <c r="N29" s="298">
        <f>SUM(N26:N28)</f>
        <v>79384480</v>
      </c>
      <c r="O29" s="298">
        <f>SUM(O26:O28)</f>
        <v>129384480</v>
      </c>
      <c r="P29" s="298"/>
      <c r="Q29" s="298">
        <f>SUM(Q26:Q28)</f>
        <v>837300000</v>
      </c>
      <c r="R29" s="256">
        <f>SUM(R26:R28)</f>
        <v>1337300000</v>
      </c>
      <c r="S29" s="298">
        <f t="shared" si="0"/>
        <v>500000000</v>
      </c>
    </row>
    <row r="30" spans="1:19" ht="27.95" customHeight="1">
      <c r="A30" s="476">
        <v>2230</v>
      </c>
      <c r="B30" s="298" t="s">
        <v>130</v>
      </c>
      <c r="C30" s="273">
        <v>8000000</v>
      </c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/>
      <c r="L30" s="273"/>
      <c r="M30" s="273"/>
      <c r="N30" s="273"/>
      <c r="O30" s="273"/>
      <c r="P30" s="273"/>
      <c r="Q30" s="273"/>
      <c r="R30" s="247"/>
      <c r="S30" s="273">
        <f t="shared" si="0"/>
        <v>0</v>
      </c>
    </row>
    <row r="31" spans="1:19" ht="27.95" customHeight="1">
      <c r="A31" s="392">
        <v>22301</v>
      </c>
      <c r="B31" s="273" t="s">
        <v>150</v>
      </c>
      <c r="C31" s="273">
        <v>0</v>
      </c>
      <c r="D31" s="273">
        <v>0</v>
      </c>
      <c r="E31" s="273">
        <v>0</v>
      </c>
      <c r="F31" s="273">
        <v>0</v>
      </c>
      <c r="G31" s="273">
        <v>20000000</v>
      </c>
      <c r="H31" s="273">
        <v>25000000</v>
      </c>
      <c r="I31" s="273">
        <v>18620000</v>
      </c>
      <c r="J31" s="273">
        <v>18620000</v>
      </c>
      <c r="K31" s="273">
        <v>14896000</v>
      </c>
      <c r="L31" s="273">
        <v>18526072</v>
      </c>
      <c r="M31" s="273">
        <f>L31*70%</f>
        <v>12968250.399999999</v>
      </c>
      <c r="N31" s="273">
        <v>17968250</v>
      </c>
      <c r="O31" s="273">
        <v>37968250</v>
      </c>
      <c r="P31" s="273"/>
      <c r="Q31" s="273"/>
      <c r="R31" s="247">
        <v>500000000</v>
      </c>
      <c r="S31" s="273">
        <f t="shared" si="0"/>
        <v>500000000</v>
      </c>
    </row>
    <row r="32" spans="1:19" ht="27.95" customHeight="1">
      <c r="A32" s="392">
        <v>22302</v>
      </c>
      <c r="B32" s="273" t="s">
        <v>152</v>
      </c>
      <c r="C32" s="273">
        <v>0</v>
      </c>
      <c r="D32" s="273">
        <v>0</v>
      </c>
      <c r="E32" s="273">
        <v>0</v>
      </c>
      <c r="F32" s="273">
        <v>0</v>
      </c>
      <c r="G32" s="273">
        <v>0</v>
      </c>
      <c r="H32" s="273">
        <v>0</v>
      </c>
      <c r="I32" s="273"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/>
      <c r="Q32" s="273"/>
      <c r="R32" s="247"/>
      <c r="S32" s="273">
        <f t="shared" si="0"/>
        <v>0</v>
      </c>
    </row>
    <row r="33" spans="1:19" ht="27.95" customHeight="1">
      <c r="A33" s="392"/>
      <c r="B33" s="298" t="s">
        <v>5</v>
      </c>
      <c r="C33" s="273">
        <v>0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98">
        <f t="shared" ref="K33:N33" si="2">SUM(K31:K32)</f>
        <v>14896000</v>
      </c>
      <c r="L33" s="298">
        <f t="shared" si="2"/>
        <v>18526072</v>
      </c>
      <c r="M33" s="298">
        <f t="shared" si="2"/>
        <v>12968250.399999999</v>
      </c>
      <c r="N33" s="298">
        <f t="shared" si="2"/>
        <v>17968250</v>
      </c>
      <c r="O33" s="298">
        <f>SUM(O31:O32)</f>
        <v>37968250</v>
      </c>
      <c r="P33" s="298"/>
      <c r="Q33" s="298"/>
      <c r="R33" s="256">
        <f>SUM(R31:R32)</f>
        <v>500000000</v>
      </c>
      <c r="S33" s="298">
        <f t="shared" si="0"/>
        <v>500000000</v>
      </c>
    </row>
    <row r="34" spans="1:19" ht="27.95" customHeight="1">
      <c r="A34" s="476">
        <v>270</v>
      </c>
      <c r="B34" s="298" t="s">
        <v>386</v>
      </c>
      <c r="C34" s="273">
        <v>0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/>
      <c r="L34" s="273"/>
      <c r="M34" s="273"/>
      <c r="N34" s="273"/>
      <c r="O34" s="273"/>
      <c r="P34" s="273"/>
      <c r="Q34" s="273"/>
      <c r="R34" s="247"/>
      <c r="S34" s="273">
        <f t="shared" si="0"/>
        <v>0</v>
      </c>
    </row>
    <row r="35" spans="1:19" ht="27.95" customHeight="1">
      <c r="A35" s="476">
        <v>2710</v>
      </c>
      <c r="B35" s="298" t="s">
        <v>387</v>
      </c>
      <c r="C35" s="273">
        <v>0</v>
      </c>
      <c r="D35" s="273">
        <v>0</v>
      </c>
      <c r="E35" s="273">
        <v>0</v>
      </c>
      <c r="F35" s="273">
        <v>0</v>
      </c>
      <c r="G35" s="273">
        <v>0</v>
      </c>
      <c r="H35" s="273">
        <v>0</v>
      </c>
      <c r="I35" s="273">
        <v>0</v>
      </c>
      <c r="J35" s="273">
        <v>0</v>
      </c>
      <c r="K35" s="273"/>
      <c r="L35" s="273"/>
      <c r="M35" s="273"/>
      <c r="N35" s="273"/>
      <c r="O35" s="273"/>
      <c r="P35" s="273"/>
      <c r="Q35" s="273"/>
      <c r="R35" s="247"/>
      <c r="S35" s="273">
        <f t="shared" si="0"/>
        <v>0</v>
      </c>
    </row>
    <row r="36" spans="1:19" s="517" customFormat="1" ht="27.95" customHeight="1">
      <c r="A36" s="392">
        <v>27601</v>
      </c>
      <c r="B36" s="273" t="s">
        <v>1270</v>
      </c>
      <c r="C36" s="273">
        <f t="shared" ref="C36:J36" si="3">SUM(C27:C35)</f>
        <v>11465000</v>
      </c>
      <c r="D36" s="273">
        <f t="shared" si="3"/>
        <v>7000000</v>
      </c>
      <c r="E36" s="273">
        <f t="shared" si="3"/>
        <v>7000000</v>
      </c>
      <c r="F36" s="273">
        <f t="shared" si="3"/>
        <v>7000000</v>
      </c>
      <c r="G36" s="273">
        <f t="shared" si="3"/>
        <v>32000000</v>
      </c>
      <c r="H36" s="273">
        <f t="shared" si="3"/>
        <v>40000000</v>
      </c>
      <c r="I36" s="273">
        <f t="shared" si="3"/>
        <v>33516000</v>
      </c>
      <c r="J36" s="273">
        <f t="shared" si="3"/>
        <v>56620000</v>
      </c>
      <c r="K36" s="273">
        <v>0</v>
      </c>
      <c r="L36" s="273">
        <v>0</v>
      </c>
      <c r="M36" s="273">
        <v>0</v>
      </c>
      <c r="N36" s="273">
        <v>0</v>
      </c>
      <c r="O36" s="273">
        <v>0</v>
      </c>
      <c r="P36" s="273"/>
      <c r="Q36" s="273">
        <v>226500000</v>
      </c>
      <c r="R36" s="247">
        <v>0</v>
      </c>
      <c r="S36" s="273">
        <f t="shared" si="0"/>
        <v>-226500000</v>
      </c>
    </row>
    <row r="37" spans="1:19" ht="27.95" customHeight="1">
      <c r="A37" s="392">
        <v>27402</v>
      </c>
      <c r="B37" s="273" t="s">
        <v>147</v>
      </c>
      <c r="C37" s="273"/>
      <c r="D37" s="273"/>
      <c r="E37" s="273"/>
      <c r="F37" s="273"/>
      <c r="G37" s="273"/>
      <c r="H37" s="273"/>
      <c r="I37" s="273"/>
      <c r="J37" s="273"/>
      <c r="K37" s="273">
        <v>0</v>
      </c>
      <c r="L37" s="273">
        <v>0</v>
      </c>
      <c r="M37" s="273">
        <v>0</v>
      </c>
      <c r="N37" s="273">
        <v>0</v>
      </c>
      <c r="O37" s="273">
        <v>42000000</v>
      </c>
      <c r="P37" s="273"/>
      <c r="Q37" s="273"/>
      <c r="R37" s="247">
        <v>1600000000</v>
      </c>
      <c r="S37" s="273">
        <f t="shared" si="0"/>
        <v>1600000000</v>
      </c>
    </row>
    <row r="38" spans="1:19" ht="27.95" customHeight="1">
      <c r="A38" s="392">
        <v>27502</v>
      </c>
      <c r="B38" s="273" t="s">
        <v>148</v>
      </c>
      <c r="C38" s="273">
        <v>9789800</v>
      </c>
      <c r="D38" s="273">
        <v>10000000</v>
      </c>
      <c r="E38" s="273">
        <v>10000000</v>
      </c>
      <c r="F38" s="273">
        <v>10000000</v>
      </c>
      <c r="G38" s="273">
        <v>16000000</v>
      </c>
      <c r="H38" s="273">
        <v>20000000</v>
      </c>
      <c r="I38" s="273">
        <v>14896000</v>
      </c>
      <c r="J38" s="273">
        <v>14896000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73"/>
      <c r="Q38" s="273"/>
      <c r="R38" s="247"/>
      <c r="S38" s="273">
        <f t="shared" si="0"/>
        <v>0</v>
      </c>
    </row>
    <row r="39" spans="1:19" ht="27.95" customHeight="1">
      <c r="A39" s="392">
        <v>27604</v>
      </c>
      <c r="B39" s="273" t="s">
        <v>1271</v>
      </c>
      <c r="C39" s="273">
        <v>0</v>
      </c>
      <c r="D39" s="273">
        <v>0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/>
      <c r="Q39" s="273">
        <v>200000000</v>
      </c>
      <c r="R39" s="247">
        <v>200000000</v>
      </c>
      <c r="S39" s="273">
        <f t="shared" si="0"/>
        <v>0</v>
      </c>
    </row>
    <row r="40" spans="1:19" ht="27.95" customHeight="1">
      <c r="A40" s="476"/>
      <c r="B40" s="298" t="s">
        <v>92</v>
      </c>
      <c r="C40" s="273">
        <v>1650000</v>
      </c>
      <c r="D40" s="273">
        <v>2520200</v>
      </c>
      <c r="E40" s="273">
        <v>2520200</v>
      </c>
      <c r="F40" s="273">
        <f>2520200+2520200</f>
        <v>5040400</v>
      </c>
      <c r="G40" s="273">
        <v>9216000</v>
      </c>
      <c r="H40" s="273">
        <v>11520000</v>
      </c>
      <c r="I40" s="273">
        <v>10427200</v>
      </c>
      <c r="J40" s="273">
        <v>10427200</v>
      </c>
      <c r="K40" s="298">
        <f>SUM(K36:K39)</f>
        <v>0</v>
      </c>
      <c r="L40" s="298">
        <f>SUM(L36:L39)</f>
        <v>0</v>
      </c>
      <c r="M40" s="298">
        <f>SUM(M36:M39)</f>
        <v>0</v>
      </c>
      <c r="N40" s="298">
        <f>SUM(N36:N39)</f>
        <v>0</v>
      </c>
      <c r="O40" s="298">
        <f>SUM(O36:O39)</f>
        <v>42000000</v>
      </c>
      <c r="P40" s="298"/>
      <c r="Q40" s="298">
        <f>SUM(Q36:Q39)</f>
        <v>426500000</v>
      </c>
      <c r="R40" s="256">
        <f>SUM(R36:R39)</f>
        <v>1800000000</v>
      </c>
      <c r="S40" s="298">
        <f t="shared" si="0"/>
        <v>1373500000</v>
      </c>
    </row>
    <row r="41" spans="1:19" ht="27.95" customHeight="1">
      <c r="A41" s="476">
        <v>2720</v>
      </c>
      <c r="B41" s="298" t="s">
        <v>469</v>
      </c>
      <c r="C41" s="273"/>
      <c r="D41" s="273"/>
      <c r="E41" s="273"/>
      <c r="F41" s="273"/>
      <c r="G41" s="273"/>
      <c r="H41" s="273"/>
      <c r="I41" s="273"/>
      <c r="J41" s="273"/>
      <c r="K41" s="298"/>
      <c r="L41" s="298"/>
      <c r="M41" s="298"/>
      <c r="N41" s="298"/>
      <c r="O41" s="298"/>
      <c r="P41" s="298"/>
      <c r="Q41" s="298"/>
      <c r="R41" s="256"/>
      <c r="S41" s="273">
        <f t="shared" si="0"/>
        <v>0</v>
      </c>
    </row>
    <row r="42" spans="1:19" ht="27.95" customHeight="1">
      <c r="A42" s="392">
        <v>27202</v>
      </c>
      <c r="B42" s="273" t="s">
        <v>1343</v>
      </c>
      <c r="C42" s="273"/>
      <c r="D42" s="273"/>
      <c r="E42" s="273"/>
      <c r="F42" s="273"/>
      <c r="G42" s="273"/>
      <c r="H42" s="273"/>
      <c r="I42" s="273"/>
      <c r="J42" s="273"/>
      <c r="K42" s="298"/>
      <c r="L42" s="298"/>
      <c r="M42" s="298"/>
      <c r="N42" s="298"/>
      <c r="O42" s="298"/>
      <c r="P42" s="298"/>
      <c r="Q42" s="298"/>
      <c r="R42" s="247">
        <v>1500000000</v>
      </c>
      <c r="S42" s="273">
        <f t="shared" si="0"/>
        <v>1500000000</v>
      </c>
    </row>
    <row r="43" spans="1:19" ht="27.95" customHeight="1">
      <c r="A43" s="392">
        <v>27202</v>
      </c>
      <c r="B43" s="273" t="s">
        <v>1344</v>
      </c>
      <c r="C43" s="273"/>
      <c r="D43" s="273"/>
      <c r="E43" s="273"/>
      <c r="F43" s="273"/>
      <c r="G43" s="273"/>
      <c r="H43" s="273"/>
      <c r="I43" s="273"/>
      <c r="J43" s="273"/>
      <c r="K43" s="298"/>
      <c r="L43" s="298"/>
      <c r="M43" s="298"/>
      <c r="N43" s="298"/>
      <c r="O43" s="298"/>
      <c r="P43" s="298"/>
      <c r="Q43" s="298"/>
      <c r="R43" s="247">
        <v>1100000000</v>
      </c>
      <c r="S43" s="273">
        <f t="shared" si="0"/>
        <v>1100000000</v>
      </c>
    </row>
    <row r="44" spans="1:19" ht="27.95" customHeight="1">
      <c r="A44" s="392">
        <v>27202</v>
      </c>
      <c r="B44" s="273" t="s">
        <v>1345</v>
      </c>
      <c r="C44" s="273"/>
      <c r="D44" s="273"/>
      <c r="E44" s="273"/>
      <c r="F44" s="273"/>
      <c r="G44" s="273"/>
      <c r="H44" s="273"/>
      <c r="I44" s="273"/>
      <c r="J44" s="273"/>
      <c r="K44" s="298"/>
      <c r="L44" s="298"/>
      <c r="M44" s="298"/>
      <c r="N44" s="298"/>
      <c r="O44" s="298"/>
      <c r="P44" s="298"/>
      <c r="Q44" s="298"/>
      <c r="R44" s="247">
        <v>600000000</v>
      </c>
      <c r="S44" s="273">
        <f t="shared" si="0"/>
        <v>600000000</v>
      </c>
    </row>
    <row r="45" spans="1:19" ht="27.95" customHeight="1">
      <c r="A45" s="476"/>
      <c r="B45" s="298" t="s">
        <v>92</v>
      </c>
      <c r="C45" s="273"/>
      <c r="D45" s="273"/>
      <c r="E45" s="273"/>
      <c r="F45" s="273"/>
      <c r="G45" s="273"/>
      <c r="H45" s="273"/>
      <c r="I45" s="273"/>
      <c r="J45" s="273"/>
      <c r="K45" s="298"/>
      <c r="L45" s="298"/>
      <c r="M45" s="298"/>
      <c r="N45" s="298"/>
      <c r="O45" s="298"/>
      <c r="P45" s="298"/>
      <c r="Q45" s="298"/>
      <c r="R45" s="256">
        <f>SUM(R42:R44)</f>
        <v>3200000000</v>
      </c>
      <c r="S45" s="298">
        <f t="shared" si="0"/>
        <v>3200000000</v>
      </c>
    </row>
    <row r="46" spans="1:19" ht="27.95" customHeight="1">
      <c r="A46" s="392"/>
      <c r="B46" s="298" t="s">
        <v>37</v>
      </c>
      <c r="C46" s="273">
        <v>0</v>
      </c>
      <c r="D46" s="273">
        <v>0</v>
      </c>
      <c r="E46" s="273">
        <v>0</v>
      </c>
      <c r="F46" s="273">
        <v>0</v>
      </c>
      <c r="G46" s="273">
        <v>0</v>
      </c>
      <c r="H46" s="273">
        <v>0</v>
      </c>
      <c r="I46" s="273">
        <v>1489600</v>
      </c>
      <c r="J46" s="273">
        <v>1489600</v>
      </c>
      <c r="K46" s="298" t="e">
        <f>#REF!+K29+K24+K8</f>
        <v>#REF!</v>
      </c>
      <c r="L46" s="298" t="e">
        <f>#REF!+L29+L24+L8</f>
        <v>#REF!</v>
      </c>
      <c r="M46" s="298" t="e">
        <f>#REF!+M29+M24+M8</f>
        <v>#REF!</v>
      </c>
      <c r="N46" s="298" t="e">
        <f>#REF!+N29+N24+N8+N40</f>
        <v>#REF!</v>
      </c>
      <c r="O46" s="298">
        <f>O40+O33+O29+O24+O8</f>
        <v>823522970</v>
      </c>
      <c r="P46" s="298">
        <f>P40++++P33+P29+P24+P8</f>
        <v>0</v>
      </c>
      <c r="Q46" s="298">
        <f>Q40+Q29+Q33+Q24+Q8</f>
        <v>3861020000</v>
      </c>
      <c r="R46" s="256">
        <f>R40+R29+R33+R24+R8+R45</f>
        <v>12747415200</v>
      </c>
      <c r="S46" s="298">
        <f>R46-Q46</f>
        <v>8886395200</v>
      </c>
    </row>
    <row r="47" spans="1:19" ht="27.95" customHeight="1">
      <c r="G47" s="778" t="s">
        <v>4</v>
      </c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</row>
    <row r="48" spans="1:19" ht="27.95" customHeight="1">
      <c r="F48" s="778" t="s">
        <v>4</v>
      </c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</row>
    <row r="49" spans="6:19" ht="27.95" customHeight="1">
      <c r="N49" s="778"/>
      <c r="O49" s="778"/>
      <c r="P49" s="778"/>
      <c r="Q49" s="778"/>
      <c r="R49" s="778"/>
      <c r="S49" s="778"/>
    </row>
    <row r="50" spans="6:19" ht="27.95" customHeight="1">
      <c r="F50" s="748">
        <f>1386274192-71600000-798000-176160000-12600000</f>
        <v>1125116192</v>
      </c>
      <c r="N50" s="778"/>
      <c r="O50" s="778"/>
      <c r="P50" s="778"/>
      <c r="Q50" s="778"/>
      <c r="R50" s="778"/>
      <c r="S50" s="778"/>
    </row>
    <row r="51" spans="6:19" ht="27.95" customHeight="1">
      <c r="N51" s="778"/>
      <c r="O51" s="778"/>
      <c r="P51" s="778"/>
      <c r="Q51" s="778"/>
      <c r="R51" s="778"/>
      <c r="S51" s="778"/>
    </row>
    <row r="52" spans="6:19" ht="27.95" customHeight="1">
      <c r="N52" s="778"/>
      <c r="O52" s="778"/>
      <c r="P52" s="778"/>
      <c r="Q52" s="778"/>
      <c r="R52" s="778"/>
      <c r="S52" s="778"/>
    </row>
    <row r="53" spans="6:19" ht="27.95" customHeight="1">
      <c r="N53" s="778"/>
      <c r="O53" s="778"/>
      <c r="P53" s="778"/>
      <c r="Q53" s="778"/>
      <c r="R53" s="778"/>
      <c r="S53" s="778"/>
    </row>
    <row r="54" spans="6:19" ht="27.95" customHeight="1">
      <c r="N54" s="778"/>
      <c r="O54" s="778"/>
      <c r="P54" s="778"/>
      <c r="Q54" s="778"/>
      <c r="R54" s="778"/>
      <c r="S54" s="778"/>
    </row>
    <row r="55" spans="6:19" ht="27.95" customHeight="1">
      <c r="N55" s="778"/>
      <c r="O55" s="778"/>
      <c r="P55" s="778"/>
      <c r="Q55" s="778"/>
      <c r="R55" s="778"/>
      <c r="S55" s="778"/>
    </row>
    <row r="56" spans="6:19" ht="27.95" customHeight="1">
      <c r="N56" s="778"/>
      <c r="O56" s="778"/>
      <c r="P56" s="778"/>
      <c r="Q56" s="778"/>
      <c r="R56" s="778"/>
      <c r="S56" s="778"/>
    </row>
    <row r="57" spans="6:19" ht="27.95" customHeight="1">
      <c r="N57" s="778"/>
      <c r="O57" s="778"/>
      <c r="P57" s="778"/>
      <c r="Q57" s="778"/>
      <c r="R57" s="778"/>
      <c r="S57" s="778"/>
    </row>
    <row r="58" spans="6:19" ht="27.95" customHeight="1">
      <c r="N58" s="778"/>
      <c r="O58" s="778"/>
      <c r="P58" s="778"/>
      <c r="Q58" s="778"/>
      <c r="R58" s="778"/>
      <c r="S58" s="778"/>
    </row>
    <row r="59" spans="6:19" ht="27.95" customHeight="1">
      <c r="N59" s="778"/>
      <c r="O59" s="778"/>
      <c r="P59" s="778"/>
      <c r="Q59" s="778"/>
      <c r="R59" s="778"/>
      <c r="S59" s="778"/>
    </row>
    <row r="60" spans="6:19" ht="27.95" customHeight="1">
      <c r="N60" s="778"/>
      <c r="O60" s="778"/>
      <c r="P60" s="778"/>
      <c r="Q60" s="778"/>
      <c r="R60" s="778"/>
      <c r="S60" s="778"/>
    </row>
    <row r="61" spans="6:19" ht="27.95" customHeight="1">
      <c r="N61" s="778"/>
      <c r="O61" s="778"/>
      <c r="P61" s="778"/>
      <c r="Q61" s="778"/>
      <c r="R61" s="778"/>
      <c r="S61" s="778"/>
    </row>
    <row r="62" spans="6:19" ht="27.95" customHeight="1">
      <c r="N62" s="778"/>
      <c r="O62" s="778"/>
      <c r="P62" s="778"/>
      <c r="Q62" s="778"/>
      <c r="R62" s="778"/>
      <c r="S62" s="778"/>
    </row>
    <row r="63" spans="6:19" ht="27.95" customHeight="1">
      <c r="N63" s="778"/>
      <c r="O63" s="778"/>
      <c r="P63" s="778"/>
      <c r="Q63" s="778"/>
      <c r="R63" s="778"/>
      <c r="S63" s="778"/>
    </row>
    <row r="64" spans="6:19" ht="27.95" customHeight="1">
      <c r="N64" s="778"/>
      <c r="O64" s="778"/>
      <c r="P64" s="778"/>
      <c r="Q64" s="778"/>
      <c r="R64" s="778"/>
      <c r="S64" s="778"/>
    </row>
    <row r="65" spans="14:19" ht="27.95" customHeight="1">
      <c r="N65" s="778"/>
      <c r="O65" s="778"/>
      <c r="P65" s="778"/>
      <c r="Q65" s="778"/>
      <c r="R65" s="778"/>
      <c r="S65" s="778"/>
    </row>
    <row r="66" spans="14:19" ht="27.95" customHeight="1">
      <c r="N66" s="778"/>
      <c r="O66" s="778"/>
      <c r="P66" s="778"/>
      <c r="Q66" s="778"/>
      <c r="R66" s="778"/>
      <c r="S66" s="778"/>
    </row>
    <row r="67" spans="14:19" ht="27.95" customHeight="1">
      <c r="N67" s="778"/>
      <c r="O67" s="778"/>
      <c r="P67" s="778"/>
      <c r="Q67" s="778"/>
      <c r="R67" s="778"/>
      <c r="S67" s="778"/>
    </row>
    <row r="68" spans="14:19" ht="27.95" customHeight="1">
      <c r="N68" s="778"/>
      <c r="O68" s="778"/>
      <c r="P68" s="778"/>
      <c r="Q68" s="778"/>
      <c r="R68" s="778"/>
      <c r="S68" s="778"/>
    </row>
    <row r="69" spans="14:19" ht="27.95" customHeight="1">
      <c r="N69" s="778"/>
      <c r="O69" s="778"/>
      <c r="P69" s="778"/>
      <c r="Q69" s="778"/>
      <c r="R69" s="778"/>
      <c r="S69" s="778"/>
    </row>
    <row r="70" spans="14:19" ht="27.95" customHeight="1">
      <c r="N70" s="778"/>
      <c r="O70" s="778"/>
      <c r="P70" s="778"/>
      <c r="Q70" s="778"/>
      <c r="R70" s="778"/>
      <c r="S70" s="778"/>
    </row>
    <row r="71" spans="14:19" ht="27.95" customHeight="1">
      <c r="N71" s="778"/>
      <c r="O71" s="778"/>
      <c r="P71" s="778"/>
      <c r="Q71" s="778"/>
      <c r="R71" s="778"/>
      <c r="S71" s="778"/>
    </row>
    <row r="72" spans="14:19" ht="27.95" customHeight="1">
      <c r="N72" s="778"/>
      <c r="O72" s="778"/>
      <c r="P72" s="778"/>
      <c r="Q72" s="778"/>
      <c r="R72" s="778"/>
      <c r="S72" s="778"/>
    </row>
    <row r="73" spans="14:19" ht="27.95" customHeight="1">
      <c r="N73" s="778"/>
      <c r="O73" s="778"/>
      <c r="P73" s="778"/>
      <c r="Q73" s="778"/>
      <c r="R73" s="778"/>
      <c r="S73" s="778"/>
    </row>
    <row r="74" spans="14:19" ht="27.95" customHeight="1">
      <c r="N74" s="778"/>
      <c r="O74" s="778"/>
      <c r="P74" s="778"/>
      <c r="Q74" s="778"/>
      <c r="R74" s="778"/>
      <c r="S74" s="778"/>
    </row>
    <row r="75" spans="14:19" ht="27.95" customHeight="1">
      <c r="N75" s="778"/>
      <c r="O75" s="778"/>
      <c r="P75" s="778"/>
      <c r="Q75" s="778"/>
      <c r="R75" s="778"/>
      <c r="S75" s="778"/>
    </row>
    <row r="76" spans="14:19" ht="27.95" customHeight="1">
      <c r="N76" s="778"/>
      <c r="O76" s="778"/>
      <c r="P76" s="778"/>
      <c r="Q76" s="778"/>
      <c r="R76" s="778"/>
      <c r="S76" s="778"/>
    </row>
    <row r="77" spans="14:19" ht="27.95" customHeight="1">
      <c r="N77" s="778"/>
      <c r="O77" s="778"/>
      <c r="P77" s="778"/>
      <c r="Q77" s="778"/>
      <c r="R77" s="778"/>
      <c r="S77" s="778"/>
    </row>
    <row r="78" spans="14:19" ht="27.95" customHeight="1">
      <c r="N78" s="778"/>
      <c r="O78" s="778"/>
      <c r="P78" s="778"/>
      <c r="Q78" s="778"/>
      <c r="R78" s="778"/>
      <c r="S78" s="778"/>
    </row>
    <row r="79" spans="14:19" ht="27.95" customHeight="1">
      <c r="N79" s="778"/>
      <c r="O79" s="778"/>
      <c r="P79" s="778"/>
      <c r="Q79" s="778"/>
      <c r="R79" s="778"/>
      <c r="S79" s="778"/>
    </row>
    <row r="80" spans="14:19" ht="27.95" customHeight="1">
      <c r="N80" s="778"/>
      <c r="O80" s="778"/>
      <c r="P80" s="778"/>
      <c r="Q80" s="778"/>
      <c r="R80" s="778"/>
      <c r="S80" s="778"/>
    </row>
    <row r="81" spans="14:19" ht="27.95" customHeight="1">
      <c r="N81" s="778"/>
      <c r="O81" s="778"/>
      <c r="P81" s="778"/>
      <c r="Q81" s="778"/>
      <c r="R81" s="778"/>
      <c r="S81" s="778"/>
    </row>
    <row r="82" spans="14:19" ht="27.95" customHeight="1">
      <c r="N82" s="778"/>
      <c r="O82" s="778"/>
      <c r="P82" s="778"/>
      <c r="Q82" s="778"/>
      <c r="R82" s="778"/>
      <c r="S82" s="778"/>
    </row>
    <row r="83" spans="14:19" ht="27.95" customHeight="1">
      <c r="N83" s="778"/>
      <c r="O83" s="778"/>
      <c r="P83" s="778"/>
      <c r="Q83" s="778"/>
      <c r="R83" s="778"/>
      <c r="S83" s="778"/>
    </row>
    <row r="84" spans="14:19" ht="27.95" customHeight="1">
      <c r="N84" s="778"/>
      <c r="O84" s="778"/>
      <c r="P84" s="778"/>
      <c r="Q84" s="778"/>
      <c r="R84" s="778"/>
      <c r="S84" s="778"/>
    </row>
    <row r="85" spans="14:19" ht="27.95" customHeight="1">
      <c r="N85" s="778"/>
      <c r="O85" s="778"/>
      <c r="P85" s="778"/>
      <c r="Q85" s="778"/>
      <c r="R85" s="778"/>
      <c r="S85" s="778"/>
    </row>
    <row r="86" spans="14:19" ht="27.95" customHeight="1">
      <c r="N86" s="778"/>
      <c r="O86" s="778"/>
      <c r="P86" s="778"/>
      <c r="Q86" s="778"/>
      <c r="R86" s="778"/>
      <c r="S86" s="778"/>
    </row>
    <row r="87" spans="14:19" ht="27.95" customHeight="1">
      <c r="N87" s="778"/>
      <c r="O87" s="778"/>
      <c r="P87" s="778"/>
      <c r="Q87" s="778"/>
      <c r="R87" s="778"/>
      <c r="S87" s="778"/>
    </row>
    <row r="88" spans="14:19" ht="27.95" customHeight="1">
      <c r="N88" s="778"/>
      <c r="O88" s="778"/>
      <c r="P88" s="778"/>
      <c r="Q88" s="778"/>
      <c r="R88" s="778"/>
      <c r="S88" s="778"/>
    </row>
    <row r="89" spans="14:19" ht="27.95" customHeight="1">
      <c r="N89" s="778"/>
      <c r="O89" s="778"/>
      <c r="P89" s="778"/>
      <c r="Q89" s="778"/>
      <c r="R89" s="778"/>
      <c r="S89" s="778"/>
    </row>
    <row r="90" spans="14:19" ht="27.95" customHeight="1">
      <c r="N90" s="778"/>
      <c r="O90" s="778"/>
      <c r="P90" s="778"/>
      <c r="Q90" s="778"/>
      <c r="R90" s="778"/>
      <c r="S90" s="778"/>
    </row>
    <row r="91" spans="14:19" ht="27.95" customHeight="1">
      <c r="N91" s="778"/>
      <c r="O91" s="778"/>
      <c r="P91" s="778"/>
      <c r="Q91" s="778"/>
      <c r="R91" s="778"/>
      <c r="S91" s="778"/>
    </row>
    <row r="92" spans="14:19" ht="27.95" customHeight="1">
      <c r="N92" s="778"/>
      <c r="O92" s="778"/>
      <c r="P92" s="778"/>
      <c r="Q92" s="778"/>
      <c r="R92" s="778"/>
      <c r="S92" s="778"/>
    </row>
    <row r="93" spans="14:19" ht="27.95" customHeight="1">
      <c r="N93" s="778"/>
      <c r="O93" s="778"/>
      <c r="P93" s="778"/>
      <c r="Q93" s="778"/>
      <c r="R93" s="778"/>
      <c r="S93" s="778"/>
    </row>
    <row r="94" spans="14:19" ht="27.95" customHeight="1">
      <c r="N94" s="778"/>
      <c r="O94" s="778"/>
      <c r="P94" s="778"/>
      <c r="Q94" s="778"/>
      <c r="R94" s="778"/>
      <c r="S94" s="778"/>
    </row>
    <row r="95" spans="14:19" ht="27.95" customHeight="1">
      <c r="N95" s="778"/>
      <c r="O95" s="778"/>
      <c r="P95" s="778"/>
      <c r="Q95" s="778"/>
      <c r="R95" s="778"/>
      <c r="S95" s="778"/>
    </row>
    <row r="96" spans="14:19" ht="27.95" customHeight="1">
      <c r="N96" s="778"/>
      <c r="O96" s="778"/>
      <c r="P96" s="778"/>
      <c r="Q96" s="778"/>
      <c r="R96" s="778"/>
      <c r="S96" s="778"/>
    </row>
    <row r="97" spans="14:19" ht="27.95" customHeight="1">
      <c r="N97" s="778"/>
      <c r="O97" s="778"/>
      <c r="P97" s="778"/>
      <c r="Q97" s="778"/>
      <c r="R97" s="778"/>
      <c r="S97" s="778"/>
    </row>
    <row r="98" spans="14:19" ht="27.95" customHeight="1">
      <c r="N98" s="778"/>
      <c r="O98" s="778"/>
      <c r="P98" s="778"/>
      <c r="Q98" s="778"/>
      <c r="R98" s="778"/>
      <c r="S98" s="778"/>
    </row>
    <row r="99" spans="14:19" ht="27.95" customHeight="1">
      <c r="N99" s="778"/>
      <c r="O99" s="778"/>
      <c r="P99" s="778"/>
      <c r="Q99" s="778"/>
      <c r="R99" s="778"/>
      <c r="S99" s="778"/>
    </row>
    <row r="100" spans="14:19" ht="27.95" customHeight="1">
      <c r="N100" s="778"/>
      <c r="O100" s="778"/>
      <c r="P100" s="778"/>
      <c r="Q100" s="778"/>
      <c r="R100" s="778"/>
      <c r="S100" s="778"/>
    </row>
    <row r="101" spans="14:19" ht="27.95" customHeight="1">
      <c r="N101" s="778"/>
      <c r="O101" s="778"/>
      <c r="P101" s="778"/>
      <c r="Q101" s="778"/>
      <c r="R101" s="778"/>
      <c r="S101" s="778"/>
    </row>
    <row r="102" spans="14:19" ht="27.95" customHeight="1">
      <c r="N102" s="778"/>
      <c r="O102" s="778"/>
      <c r="P102" s="778"/>
      <c r="Q102" s="778"/>
      <c r="R102" s="778"/>
      <c r="S102" s="778"/>
    </row>
    <row r="103" spans="14:19" ht="27.95" customHeight="1">
      <c r="N103" s="778"/>
      <c r="O103" s="778"/>
      <c r="P103" s="778"/>
      <c r="Q103" s="778"/>
      <c r="R103" s="778"/>
      <c r="S103" s="778"/>
    </row>
    <row r="104" spans="14:19" ht="27.95" customHeight="1">
      <c r="N104" s="778"/>
      <c r="O104" s="778"/>
      <c r="P104" s="778"/>
      <c r="Q104" s="778"/>
      <c r="R104" s="778"/>
      <c r="S104" s="778"/>
    </row>
    <row r="105" spans="14:19" ht="27.95" customHeight="1">
      <c r="N105" s="778"/>
      <c r="O105" s="778"/>
      <c r="P105" s="778"/>
      <c r="Q105" s="778"/>
      <c r="R105" s="778"/>
      <c r="S105" s="778"/>
    </row>
    <row r="106" spans="14:19" ht="27.95" customHeight="1">
      <c r="N106" s="778"/>
      <c r="O106" s="778"/>
      <c r="P106" s="778"/>
      <c r="Q106" s="778"/>
      <c r="R106" s="778"/>
      <c r="S106" s="778"/>
    </row>
    <row r="107" spans="14:19" ht="27.95" customHeight="1">
      <c r="N107" s="778"/>
      <c r="O107" s="778"/>
      <c r="P107" s="778"/>
      <c r="Q107" s="778"/>
      <c r="R107" s="778"/>
      <c r="S107" s="778"/>
    </row>
    <row r="108" spans="14:19" ht="27.95" customHeight="1">
      <c r="N108" s="778"/>
      <c r="O108" s="778"/>
      <c r="P108" s="778"/>
      <c r="Q108" s="778"/>
      <c r="R108" s="778"/>
      <c r="S108" s="778"/>
    </row>
    <row r="109" spans="14:19" ht="27.95" customHeight="1">
      <c r="N109" s="778"/>
      <c r="O109" s="778"/>
      <c r="P109" s="778"/>
      <c r="Q109" s="778"/>
      <c r="R109" s="778"/>
      <c r="S109" s="778"/>
    </row>
    <row r="110" spans="14:19" ht="27.95" customHeight="1">
      <c r="N110" s="778"/>
      <c r="O110" s="778"/>
      <c r="P110" s="778"/>
      <c r="Q110" s="778"/>
      <c r="R110" s="778"/>
      <c r="S110" s="778"/>
    </row>
    <row r="111" spans="14:19" ht="27.95" customHeight="1">
      <c r="N111" s="778"/>
      <c r="O111" s="778"/>
      <c r="P111" s="778"/>
      <c r="Q111" s="778"/>
      <c r="R111" s="778"/>
      <c r="S111" s="778"/>
    </row>
    <row r="112" spans="14:19" ht="27.95" customHeight="1">
      <c r="N112" s="778"/>
      <c r="O112" s="778"/>
      <c r="P112" s="778"/>
      <c r="Q112" s="778"/>
      <c r="R112" s="778"/>
      <c r="S112" s="778"/>
    </row>
    <row r="113" spans="14:19" ht="27.95" customHeight="1">
      <c r="N113" s="778"/>
      <c r="O113" s="778"/>
      <c r="P113" s="778"/>
      <c r="Q113" s="778"/>
      <c r="R113" s="778"/>
      <c r="S113" s="778"/>
    </row>
    <row r="114" spans="14:19" ht="27.95" customHeight="1">
      <c r="N114" s="778"/>
      <c r="O114" s="778"/>
      <c r="P114" s="778"/>
      <c r="Q114" s="778"/>
      <c r="R114" s="778"/>
      <c r="S114" s="778"/>
    </row>
    <row r="115" spans="14:19" ht="27.95" customHeight="1">
      <c r="N115" s="778"/>
      <c r="O115" s="778"/>
      <c r="P115" s="778"/>
      <c r="Q115" s="778"/>
      <c r="R115" s="778"/>
      <c r="S115" s="778"/>
    </row>
    <row r="116" spans="14:19" ht="27.95" customHeight="1">
      <c r="N116" s="778"/>
      <c r="O116" s="778"/>
      <c r="P116" s="778"/>
      <c r="Q116" s="778"/>
      <c r="R116" s="778"/>
      <c r="S116" s="778"/>
    </row>
    <row r="117" spans="14:19" ht="27.95" customHeight="1">
      <c r="N117" s="778"/>
      <c r="O117" s="778"/>
      <c r="P117" s="778"/>
      <c r="Q117" s="778"/>
      <c r="R117" s="778"/>
      <c r="S117" s="778"/>
    </row>
    <row r="118" spans="14:19" ht="27.95" customHeight="1">
      <c r="N118" s="778"/>
      <c r="O118" s="778"/>
      <c r="P118" s="778"/>
      <c r="Q118" s="778"/>
      <c r="R118" s="778"/>
      <c r="S118" s="778"/>
    </row>
    <row r="119" spans="14:19" ht="27.95" customHeight="1">
      <c r="N119" s="778"/>
      <c r="O119" s="778"/>
      <c r="P119" s="778"/>
      <c r="Q119" s="778"/>
      <c r="R119" s="778"/>
      <c r="S119" s="778"/>
    </row>
    <row r="120" spans="14:19" ht="27.95" customHeight="1">
      <c r="N120" s="778"/>
      <c r="O120" s="778"/>
      <c r="P120" s="778"/>
      <c r="Q120" s="778"/>
      <c r="R120" s="778"/>
      <c r="S120" s="778"/>
    </row>
    <row r="121" spans="14:19" ht="27.95" customHeight="1">
      <c r="N121" s="778"/>
      <c r="O121" s="778"/>
      <c r="P121" s="778"/>
      <c r="Q121" s="778"/>
      <c r="R121" s="778"/>
      <c r="S121" s="778"/>
    </row>
    <row r="122" spans="14:19" ht="27.95" customHeight="1">
      <c r="N122" s="778"/>
      <c r="O122" s="778"/>
      <c r="P122" s="778"/>
      <c r="Q122" s="778"/>
      <c r="R122" s="778"/>
      <c r="S122" s="778"/>
    </row>
    <row r="123" spans="14:19" ht="27.95" customHeight="1">
      <c r="N123" s="778"/>
      <c r="O123" s="778"/>
      <c r="P123" s="778"/>
      <c r="Q123" s="778"/>
      <c r="R123" s="778"/>
      <c r="S123" s="778"/>
    </row>
    <row r="124" spans="14:19" ht="27.95" customHeight="1">
      <c r="N124" s="778"/>
      <c r="O124" s="778"/>
      <c r="P124" s="778"/>
      <c r="Q124" s="778"/>
      <c r="R124" s="778"/>
      <c r="S124" s="778"/>
    </row>
    <row r="125" spans="14:19" ht="27.95" customHeight="1">
      <c r="N125" s="778"/>
      <c r="O125" s="778"/>
      <c r="P125" s="778"/>
      <c r="Q125" s="778"/>
      <c r="R125" s="778"/>
      <c r="S125" s="778"/>
    </row>
    <row r="126" spans="14:19" ht="27.95" customHeight="1">
      <c r="N126" s="778"/>
      <c r="O126" s="778"/>
      <c r="P126" s="778"/>
      <c r="Q126" s="778"/>
      <c r="R126" s="778"/>
      <c r="S126" s="778"/>
    </row>
    <row r="127" spans="14:19" ht="27.95" customHeight="1">
      <c r="N127" s="778"/>
      <c r="O127" s="778"/>
      <c r="P127" s="778"/>
      <c r="Q127" s="778"/>
      <c r="R127" s="778"/>
      <c r="S127" s="778"/>
    </row>
    <row r="128" spans="14:19" ht="27.95" customHeight="1">
      <c r="N128" s="778"/>
      <c r="O128" s="778"/>
      <c r="P128" s="778"/>
      <c r="Q128" s="778"/>
      <c r="R128" s="778"/>
      <c r="S128" s="778"/>
    </row>
    <row r="129" spans="14:19" ht="27.95" customHeight="1">
      <c r="N129" s="778"/>
      <c r="O129" s="778"/>
      <c r="P129" s="778"/>
      <c r="Q129" s="778"/>
      <c r="R129" s="778"/>
      <c r="S129" s="778"/>
    </row>
    <row r="130" spans="14:19" ht="27.95" customHeight="1">
      <c r="N130" s="778"/>
      <c r="O130" s="778"/>
      <c r="P130" s="778"/>
      <c r="Q130" s="778"/>
      <c r="R130" s="778"/>
      <c r="S130" s="778"/>
    </row>
    <row r="131" spans="14:19" ht="27.95" customHeight="1">
      <c r="N131" s="778"/>
      <c r="O131" s="778"/>
      <c r="P131" s="778"/>
      <c r="Q131" s="778"/>
      <c r="R131" s="778"/>
      <c r="S131" s="778"/>
    </row>
    <row r="132" spans="14:19" ht="27.95" customHeight="1">
      <c r="N132" s="778"/>
      <c r="O132" s="778"/>
      <c r="P132" s="778"/>
      <c r="Q132" s="778"/>
      <c r="R132" s="778"/>
      <c r="S132" s="778"/>
    </row>
    <row r="133" spans="14:19" ht="27.95" customHeight="1">
      <c r="N133" s="778"/>
      <c r="O133" s="778"/>
      <c r="P133" s="778"/>
      <c r="Q133" s="778"/>
      <c r="R133" s="778"/>
      <c r="S133" s="778"/>
    </row>
    <row r="134" spans="14:19" ht="27.95" customHeight="1">
      <c r="N134" s="778"/>
      <c r="O134" s="778"/>
      <c r="P134" s="778"/>
      <c r="Q134" s="778"/>
      <c r="R134" s="778"/>
      <c r="S134" s="778"/>
    </row>
    <row r="135" spans="14:19" ht="27.95" customHeight="1">
      <c r="N135" s="778"/>
      <c r="O135" s="778"/>
      <c r="P135" s="778"/>
      <c r="Q135" s="778"/>
      <c r="R135" s="778"/>
      <c r="S135" s="778"/>
    </row>
    <row r="136" spans="14:19" ht="27.95" customHeight="1">
      <c r="N136" s="778"/>
      <c r="O136" s="778"/>
      <c r="P136" s="778"/>
      <c r="Q136" s="778"/>
      <c r="R136" s="778"/>
      <c r="S136" s="778"/>
    </row>
    <row r="137" spans="14:19" ht="27.95" customHeight="1">
      <c r="N137" s="778"/>
      <c r="O137" s="778"/>
      <c r="P137" s="778"/>
      <c r="Q137" s="778"/>
      <c r="R137" s="778"/>
      <c r="S137" s="778"/>
    </row>
    <row r="138" spans="14:19" ht="27.95" customHeight="1">
      <c r="N138" s="778"/>
      <c r="O138" s="778"/>
      <c r="P138" s="778"/>
      <c r="Q138" s="778"/>
      <c r="R138" s="778"/>
      <c r="S138" s="778"/>
    </row>
    <row r="139" spans="14:19" ht="27.95" customHeight="1">
      <c r="N139" s="778"/>
      <c r="O139" s="778"/>
      <c r="P139" s="778"/>
      <c r="Q139" s="778"/>
      <c r="R139" s="778"/>
      <c r="S139" s="778"/>
    </row>
    <row r="140" spans="14:19" ht="27.95" customHeight="1">
      <c r="N140" s="778"/>
      <c r="O140" s="778"/>
      <c r="P140" s="778"/>
      <c r="Q140" s="778"/>
      <c r="R140" s="778"/>
      <c r="S140" s="778"/>
    </row>
    <row r="141" spans="14:19" ht="27.95" customHeight="1">
      <c r="N141" s="778"/>
      <c r="O141" s="778"/>
      <c r="P141" s="778"/>
      <c r="Q141" s="778"/>
      <c r="R141" s="778"/>
      <c r="S141" s="778"/>
    </row>
    <row r="142" spans="14:19" ht="27.95" customHeight="1">
      <c r="N142" s="778"/>
      <c r="O142" s="778"/>
      <c r="P142" s="778"/>
      <c r="Q142" s="778"/>
      <c r="R142" s="778"/>
      <c r="S142" s="778"/>
    </row>
    <row r="143" spans="14:19" ht="27.95" customHeight="1">
      <c r="N143" s="778"/>
      <c r="O143" s="778"/>
      <c r="P143" s="778"/>
      <c r="Q143" s="778"/>
      <c r="R143" s="778"/>
      <c r="S143" s="778"/>
    </row>
    <row r="144" spans="14:19" ht="27.95" customHeight="1">
      <c r="N144" s="778"/>
      <c r="O144" s="778"/>
      <c r="P144" s="778"/>
      <c r="Q144" s="778"/>
      <c r="R144" s="778"/>
      <c r="S144" s="778"/>
    </row>
    <row r="145" spans="14:19" ht="27.95" customHeight="1">
      <c r="N145" s="778"/>
      <c r="O145" s="778"/>
      <c r="P145" s="778"/>
      <c r="Q145" s="778"/>
      <c r="R145" s="778"/>
      <c r="S145" s="778"/>
    </row>
    <row r="146" spans="14:19" ht="27.95" customHeight="1">
      <c r="N146" s="778"/>
      <c r="O146" s="778"/>
      <c r="P146" s="778"/>
      <c r="Q146" s="778"/>
      <c r="R146" s="778"/>
      <c r="S146" s="778"/>
    </row>
    <row r="147" spans="14:19" ht="27.95" customHeight="1">
      <c r="N147" s="778"/>
      <c r="O147" s="778"/>
      <c r="P147" s="778"/>
      <c r="Q147" s="778"/>
      <c r="R147" s="778"/>
      <c r="S147" s="778"/>
    </row>
    <row r="148" spans="14:19" ht="27.95" customHeight="1">
      <c r="N148" s="778"/>
      <c r="O148" s="778"/>
      <c r="P148" s="778"/>
      <c r="Q148" s="778"/>
      <c r="R148" s="778"/>
      <c r="S148" s="778"/>
    </row>
    <row r="149" spans="14:19" ht="27.95" customHeight="1">
      <c r="N149" s="778"/>
      <c r="O149" s="778"/>
      <c r="P149" s="778"/>
      <c r="Q149" s="778"/>
      <c r="R149" s="778"/>
      <c r="S149" s="778"/>
    </row>
    <row r="150" spans="14:19" ht="27.95" customHeight="1">
      <c r="N150" s="778"/>
      <c r="O150" s="778"/>
      <c r="P150" s="778"/>
      <c r="Q150" s="778"/>
      <c r="R150" s="778"/>
      <c r="S150" s="778"/>
    </row>
    <row r="151" spans="14:19" ht="27.95" customHeight="1">
      <c r="N151" s="778"/>
      <c r="O151" s="778"/>
      <c r="P151" s="778"/>
      <c r="Q151" s="778"/>
      <c r="R151" s="778"/>
      <c r="S151" s="778"/>
    </row>
    <row r="152" spans="14:19" ht="27.95" customHeight="1">
      <c r="N152" s="778"/>
      <c r="O152" s="778"/>
      <c r="P152" s="778"/>
      <c r="Q152" s="778"/>
      <c r="R152" s="778"/>
      <c r="S152" s="778"/>
    </row>
    <row r="153" spans="14:19" ht="27.95" customHeight="1">
      <c r="N153" s="778"/>
      <c r="O153" s="778"/>
      <c r="P153" s="778"/>
      <c r="Q153" s="778"/>
      <c r="R153" s="778"/>
      <c r="S153" s="778"/>
    </row>
    <row r="154" spans="14:19" ht="27.95" customHeight="1">
      <c r="N154" s="778"/>
      <c r="O154" s="778"/>
      <c r="P154" s="778"/>
      <c r="Q154" s="778"/>
      <c r="R154" s="778"/>
      <c r="S154" s="778"/>
    </row>
    <row r="155" spans="14:19" ht="27.95" customHeight="1">
      <c r="N155" s="778"/>
      <c r="O155" s="778"/>
      <c r="P155" s="778"/>
      <c r="Q155" s="778"/>
      <c r="R155" s="778"/>
      <c r="S155" s="778"/>
    </row>
    <row r="156" spans="14:19" ht="27.95" customHeight="1">
      <c r="N156" s="778"/>
      <c r="O156" s="778"/>
      <c r="P156" s="778"/>
      <c r="Q156" s="778"/>
      <c r="R156" s="778"/>
      <c r="S156" s="778"/>
    </row>
    <row r="157" spans="14:19" ht="27.95" customHeight="1">
      <c r="N157" s="778"/>
      <c r="O157" s="778"/>
      <c r="P157" s="778"/>
      <c r="Q157" s="778"/>
      <c r="R157" s="778"/>
      <c r="S157" s="778"/>
    </row>
    <row r="158" spans="14:19" ht="27.95" customHeight="1">
      <c r="N158" s="778"/>
      <c r="O158" s="778"/>
      <c r="P158" s="778"/>
      <c r="Q158" s="778"/>
      <c r="R158" s="778"/>
      <c r="S158" s="778"/>
    </row>
    <row r="159" spans="14:19" ht="27.95" customHeight="1">
      <c r="N159" s="778"/>
      <c r="O159" s="778"/>
      <c r="P159" s="778"/>
      <c r="Q159" s="778"/>
      <c r="R159" s="778"/>
      <c r="S159" s="778"/>
    </row>
    <row r="160" spans="14:19" ht="27.95" customHeight="1">
      <c r="N160" s="778"/>
      <c r="O160" s="778"/>
      <c r="P160" s="778"/>
      <c r="Q160" s="778"/>
      <c r="R160" s="778"/>
      <c r="S160" s="778"/>
    </row>
    <row r="161" spans="14:19" ht="27.95" customHeight="1">
      <c r="N161" s="778"/>
      <c r="O161" s="778"/>
      <c r="P161" s="778"/>
      <c r="Q161" s="778"/>
      <c r="R161" s="778"/>
      <c r="S161" s="778"/>
    </row>
    <row r="162" spans="14:19" ht="27.95" customHeight="1">
      <c r="N162" s="778"/>
      <c r="O162" s="778"/>
      <c r="P162" s="778"/>
      <c r="Q162" s="778"/>
      <c r="R162" s="778"/>
      <c r="S162" s="778"/>
    </row>
    <row r="163" spans="14:19" ht="27.95" customHeight="1">
      <c r="N163" s="778"/>
      <c r="O163" s="778"/>
      <c r="P163" s="778"/>
      <c r="Q163" s="778"/>
      <c r="R163" s="778"/>
      <c r="S163" s="778"/>
    </row>
    <row r="164" spans="14:19" ht="27.95" customHeight="1">
      <c r="N164" s="778"/>
      <c r="O164" s="778"/>
      <c r="P164" s="778"/>
      <c r="Q164" s="778"/>
      <c r="R164" s="778"/>
      <c r="S164" s="778"/>
    </row>
    <row r="165" spans="14:19" ht="27.95" customHeight="1">
      <c r="N165" s="778"/>
      <c r="O165" s="778"/>
      <c r="P165" s="778"/>
      <c r="Q165" s="778"/>
      <c r="R165" s="778"/>
      <c r="S165" s="778"/>
    </row>
    <row r="166" spans="14:19" ht="27.95" customHeight="1">
      <c r="N166" s="778"/>
      <c r="O166" s="778"/>
      <c r="P166" s="778"/>
      <c r="Q166" s="778"/>
      <c r="R166" s="778"/>
      <c r="S166" s="778"/>
    </row>
    <row r="167" spans="14:19" ht="27.95" customHeight="1">
      <c r="N167" s="778"/>
      <c r="O167" s="778"/>
      <c r="P167" s="778"/>
      <c r="Q167" s="778"/>
      <c r="R167" s="778"/>
      <c r="S167" s="778"/>
    </row>
    <row r="168" spans="14:19" ht="27.95" customHeight="1">
      <c r="N168" s="778"/>
      <c r="O168" s="778"/>
      <c r="P168" s="778"/>
      <c r="Q168" s="778"/>
      <c r="R168" s="778"/>
      <c r="S168" s="778"/>
    </row>
    <row r="169" spans="14:19" ht="27.95" customHeight="1">
      <c r="N169" s="778"/>
      <c r="O169" s="778"/>
      <c r="P169" s="778"/>
      <c r="Q169" s="778"/>
      <c r="R169" s="778"/>
      <c r="S169" s="778"/>
    </row>
    <row r="170" spans="14:19" ht="27.95" customHeight="1">
      <c r="N170" s="778"/>
      <c r="O170" s="778"/>
      <c r="P170" s="778"/>
      <c r="Q170" s="778"/>
      <c r="R170" s="778"/>
      <c r="S170" s="778"/>
    </row>
    <row r="171" spans="14:19" ht="27.95" customHeight="1">
      <c r="N171" s="778"/>
      <c r="O171" s="778"/>
      <c r="P171" s="778"/>
      <c r="Q171" s="778"/>
      <c r="R171" s="778"/>
      <c r="S171" s="778"/>
    </row>
    <row r="172" spans="14:19" ht="27.95" customHeight="1">
      <c r="N172" s="778"/>
      <c r="O172" s="778"/>
      <c r="P172" s="778"/>
      <c r="Q172" s="778"/>
      <c r="R172" s="778"/>
      <c r="S172" s="778"/>
    </row>
    <row r="173" spans="14:19" ht="27.95" customHeight="1">
      <c r="N173" s="778"/>
      <c r="O173" s="778"/>
      <c r="P173" s="778"/>
      <c r="Q173" s="778"/>
      <c r="R173" s="778"/>
      <c r="S173" s="778"/>
    </row>
    <row r="174" spans="14:19" ht="27.95" customHeight="1">
      <c r="N174" s="778"/>
      <c r="O174" s="778"/>
      <c r="P174" s="778"/>
      <c r="Q174" s="778"/>
      <c r="R174" s="778"/>
      <c r="S174" s="778"/>
    </row>
    <row r="175" spans="14:19" ht="27.95" customHeight="1">
      <c r="N175" s="778"/>
      <c r="O175" s="778"/>
      <c r="P175" s="778"/>
      <c r="Q175" s="778"/>
      <c r="R175" s="778"/>
      <c r="S175" s="778"/>
    </row>
    <row r="176" spans="14:19" ht="27.95" customHeight="1">
      <c r="N176" s="778"/>
      <c r="O176" s="778"/>
      <c r="P176" s="778"/>
      <c r="Q176" s="778"/>
      <c r="R176" s="778"/>
      <c r="S176" s="778"/>
    </row>
    <row r="177" spans="14:19" ht="27.95" customHeight="1">
      <c r="N177" s="778"/>
      <c r="O177" s="778"/>
      <c r="P177" s="778"/>
      <c r="Q177" s="778"/>
      <c r="R177" s="778"/>
      <c r="S177" s="778"/>
    </row>
    <row r="178" spans="14:19" ht="27.95" customHeight="1">
      <c r="N178" s="778"/>
      <c r="O178" s="778"/>
      <c r="P178" s="778"/>
      <c r="Q178" s="778"/>
      <c r="R178" s="778"/>
      <c r="S178" s="778"/>
    </row>
    <row r="179" spans="14:19" ht="27.95" customHeight="1">
      <c r="N179" s="778"/>
      <c r="O179" s="778"/>
      <c r="P179" s="778"/>
      <c r="Q179" s="778"/>
      <c r="R179" s="778"/>
      <c r="S179" s="778"/>
    </row>
    <row r="180" spans="14:19" ht="27.95" customHeight="1">
      <c r="N180" s="778"/>
      <c r="O180" s="778"/>
      <c r="P180" s="778"/>
      <c r="Q180" s="778"/>
      <c r="R180" s="778"/>
      <c r="S180" s="778"/>
    </row>
    <row r="181" spans="14:19" ht="27.95" customHeight="1">
      <c r="N181" s="778"/>
      <c r="O181" s="778"/>
      <c r="P181" s="778"/>
      <c r="Q181" s="778"/>
      <c r="R181" s="778"/>
      <c r="S181" s="778"/>
    </row>
    <row r="182" spans="14:19" ht="27.95" customHeight="1">
      <c r="N182" s="778"/>
      <c r="O182" s="778"/>
      <c r="P182" s="778"/>
      <c r="Q182" s="778"/>
      <c r="R182" s="778"/>
      <c r="S182" s="778"/>
    </row>
    <row r="183" spans="14:19" ht="27.95" customHeight="1">
      <c r="N183" s="778"/>
      <c r="O183" s="778"/>
      <c r="P183" s="778"/>
      <c r="Q183" s="778"/>
      <c r="R183" s="778"/>
      <c r="S183" s="778"/>
    </row>
    <row r="184" spans="14:19" ht="27.95" customHeight="1">
      <c r="N184" s="778"/>
      <c r="O184" s="778"/>
      <c r="P184" s="778"/>
      <c r="Q184" s="778"/>
      <c r="R184" s="778"/>
      <c r="S184" s="778"/>
    </row>
    <row r="185" spans="14:19" ht="27.95" customHeight="1">
      <c r="N185" s="778"/>
      <c r="O185" s="778"/>
      <c r="P185" s="778"/>
      <c r="Q185" s="778"/>
      <c r="R185" s="778"/>
      <c r="S185" s="778"/>
    </row>
    <row r="186" spans="14:19" ht="27.95" customHeight="1">
      <c r="N186" s="778"/>
      <c r="O186" s="778"/>
      <c r="P186" s="778"/>
      <c r="Q186" s="778"/>
      <c r="R186" s="778"/>
      <c r="S186" s="778"/>
    </row>
    <row r="187" spans="14:19" ht="27.95" customHeight="1">
      <c r="N187" s="778"/>
      <c r="O187" s="778"/>
      <c r="P187" s="778"/>
      <c r="Q187" s="778"/>
      <c r="R187" s="778"/>
      <c r="S187" s="778"/>
    </row>
    <row r="188" spans="14:19" ht="27.95" customHeight="1">
      <c r="N188" s="778"/>
      <c r="O188" s="778"/>
      <c r="P188" s="778"/>
      <c r="Q188" s="778"/>
      <c r="R188" s="778"/>
      <c r="S188" s="778"/>
    </row>
    <row r="189" spans="14:19" ht="27.95" customHeight="1">
      <c r="N189" s="778"/>
      <c r="O189" s="778"/>
      <c r="P189" s="778"/>
      <c r="Q189" s="778"/>
      <c r="R189" s="778"/>
      <c r="S189" s="778"/>
    </row>
    <row r="190" spans="14:19" ht="27.95" customHeight="1">
      <c r="N190" s="778"/>
      <c r="O190" s="778"/>
      <c r="P190" s="778"/>
      <c r="Q190" s="778"/>
      <c r="R190" s="778"/>
      <c r="S190" s="778"/>
    </row>
    <row r="191" spans="14:19" ht="27.95" customHeight="1">
      <c r="N191" s="778"/>
      <c r="O191" s="778"/>
      <c r="P191" s="778"/>
      <c r="Q191" s="778"/>
      <c r="R191" s="778"/>
      <c r="S191" s="778"/>
    </row>
    <row r="192" spans="14:19" ht="27.95" customHeight="1">
      <c r="N192" s="778"/>
      <c r="O192" s="778"/>
      <c r="P192" s="778"/>
      <c r="Q192" s="778"/>
      <c r="R192" s="778"/>
      <c r="S192" s="778"/>
    </row>
    <row r="193" spans="14:19" ht="27.95" customHeight="1">
      <c r="N193" s="778"/>
      <c r="O193" s="778"/>
      <c r="P193" s="778"/>
      <c r="Q193" s="778"/>
      <c r="R193" s="778"/>
      <c r="S193" s="778"/>
    </row>
    <row r="194" spans="14:19" ht="27.95" customHeight="1">
      <c r="N194" s="778"/>
      <c r="O194" s="778"/>
      <c r="P194" s="778"/>
      <c r="Q194" s="778"/>
      <c r="R194" s="778"/>
      <c r="S194" s="778"/>
    </row>
    <row r="195" spans="14:19" ht="27.95" customHeight="1">
      <c r="N195" s="778"/>
      <c r="O195" s="778"/>
      <c r="P195" s="778"/>
      <c r="Q195" s="778"/>
      <c r="R195" s="778"/>
      <c r="S195" s="778"/>
    </row>
    <row r="196" spans="14:19" ht="27.95" customHeight="1">
      <c r="N196" s="778"/>
      <c r="O196" s="778"/>
      <c r="P196" s="778"/>
      <c r="Q196" s="778"/>
      <c r="R196" s="778"/>
      <c r="S196" s="778"/>
    </row>
    <row r="197" spans="14:19" ht="27.95" customHeight="1">
      <c r="N197" s="778"/>
      <c r="O197" s="778"/>
      <c r="P197" s="778"/>
      <c r="Q197" s="778"/>
      <c r="R197" s="778"/>
      <c r="S197" s="778"/>
    </row>
    <row r="198" spans="14:19" ht="27.95" customHeight="1">
      <c r="N198" s="778"/>
      <c r="O198" s="778"/>
      <c r="P198" s="778"/>
      <c r="Q198" s="778"/>
      <c r="R198" s="778"/>
      <c r="S198" s="778"/>
    </row>
    <row r="199" spans="14:19" ht="27.95" customHeight="1">
      <c r="N199" s="778"/>
      <c r="O199" s="778"/>
      <c r="P199" s="778"/>
      <c r="Q199" s="778"/>
      <c r="R199" s="778"/>
      <c r="S199" s="778"/>
    </row>
    <row r="200" spans="14:19" ht="27.95" customHeight="1">
      <c r="N200" s="778"/>
      <c r="O200" s="778"/>
      <c r="P200" s="778"/>
      <c r="Q200" s="778"/>
      <c r="R200" s="778"/>
      <c r="S200" s="778"/>
    </row>
    <row r="201" spans="14:19" ht="27.95" customHeight="1">
      <c r="N201" s="778"/>
      <c r="O201" s="778"/>
      <c r="P201" s="778"/>
      <c r="Q201" s="778"/>
      <c r="R201" s="778"/>
      <c r="S201" s="778"/>
    </row>
    <row r="202" spans="14:19" ht="27.95" customHeight="1">
      <c r="N202" s="778"/>
      <c r="O202" s="778"/>
      <c r="P202" s="778"/>
      <c r="Q202" s="778"/>
      <c r="R202" s="778"/>
      <c r="S202" s="778"/>
    </row>
    <row r="203" spans="14:19" ht="27.95" customHeight="1">
      <c r="N203" s="778"/>
      <c r="O203" s="778"/>
      <c r="P203" s="778"/>
      <c r="Q203" s="778"/>
      <c r="R203" s="778"/>
      <c r="S203" s="778"/>
    </row>
    <row r="204" spans="14:19" ht="27.95" customHeight="1">
      <c r="N204" s="778"/>
      <c r="O204" s="778"/>
      <c r="P204" s="778"/>
      <c r="Q204" s="778"/>
      <c r="R204" s="778"/>
      <c r="S204" s="778"/>
    </row>
    <row r="205" spans="14:19" ht="27.95" customHeight="1">
      <c r="N205" s="778"/>
      <c r="O205" s="778"/>
      <c r="P205" s="778"/>
      <c r="Q205" s="778"/>
      <c r="R205" s="778"/>
      <c r="S205" s="778"/>
    </row>
    <row r="206" spans="14:19" ht="27.95" customHeight="1">
      <c r="N206" s="778"/>
      <c r="O206" s="778"/>
      <c r="P206" s="778"/>
      <c r="Q206" s="778"/>
      <c r="R206" s="778"/>
      <c r="S206" s="778"/>
    </row>
    <row r="207" spans="14:19" ht="27.95" customHeight="1">
      <c r="N207" s="778"/>
      <c r="O207" s="778"/>
      <c r="P207" s="778"/>
      <c r="Q207" s="778"/>
      <c r="R207" s="778"/>
      <c r="S207" s="778"/>
    </row>
    <row r="208" spans="14:19" ht="27.95" customHeight="1">
      <c r="N208" s="778"/>
      <c r="O208" s="778"/>
      <c r="P208" s="778"/>
      <c r="Q208" s="778"/>
      <c r="R208" s="778"/>
      <c r="S208" s="778"/>
    </row>
    <row r="209" spans="14:19" ht="27.95" customHeight="1">
      <c r="N209" s="778"/>
      <c r="O209" s="778"/>
      <c r="P209" s="778"/>
      <c r="Q209" s="778"/>
      <c r="R209" s="778"/>
      <c r="S209" s="778"/>
    </row>
    <row r="210" spans="14:19" ht="27.95" customHeight="1">
      <c r="N210" s="778"/>
      <c r="O210" s="778"/>
      <c r="P210" s="778"/>
      <c r="Q210" s="778"/>
      <c r="R210" s="778"/>
      <c r="S210" s="778"/>
    </row>
    <row r="211" spans="14:19" ht="27.95" customHeight="1">
      <c r="N211" s="778"/>
      <c r="O211" s="778"/>
      <c r="P211" s="778"/>
      <c r="Q211" s="778"/>
      <c r="R211" s="778"/>
      <c r="S211" s="778"/>
    </row>
    <row r="212" spans="14:19" ht="27.95" customHeight="1">
      <c r="N212" s="778"/>
      <c r="O212" s="778"/>
      <c r="P212" s="778"/>
      <c r="Q212" s="778"/>
      <c r="R212" s="778"/>
      <c r="S212" s="778"/>
    </row>
    <row r="213" spans="14:19" ht="27.95" customHeight="1">
      <c r="N213" s="778"/>
      <c r="O213" s="778"/>
      <c r="P213" s="778"/>
      <c r="Q213" s="778"/>
      <c r="R213" s="778"/>
      <c r="S213" s="778"/>
    </row>
    <row r="214" spans="14:19" ht="27.95" customHeight="1">
      <c r="N214" s="778"/>
      <c r="O214" s="778"/>
      <c r="P214" s="778"/>
      <c r="Q214" s="778"/>
      <c r="R214" s="778"/>
      <c r="S214" s="778"/>
    </row>
    <row r="215" spans="14:19" ht="27.95" customHeight="1">
      <c r="N215" s="778"/>
      <c r="O215" s="778"/>
      <c r="P215" s="778"/>
      <c r="Q215" s="778"/>
      <c r="R215" s="778"/>
      <c r="S215" s="778"/>
    </row>
    <row r="216" spans="14:19" ht="27.95" customHeight="1">
      <c r="N216" s="778"/>
      <c r="O216" s="778"/>
      <c r="P216" s="778"/>
      <c r="Q216" s="778"/>
      <c r="R216" s="778"/>
      <c r="S216" s="778"/>
    </row>
    <row r="217" spans="14:19" ht="27.95" customHeight="1">
      <c r="N217" s="778"/>
      <c r="O217" s="778"/>
      <c r="P217" s="778"/>
      <c r="Q217" s="778"/>
      <c r="R217" s="778"/>
      <c r="S217" s="778"/>
    </row>
    <row r="218" spans="14:19" ht="27.95" customHeight="1">
      <c r="N218" s="778"/>
      <c r="O218" s="778"/>
      <c r="P218" s="778"/>
      <c r="Q218" s="778"/>
      <c r="R218" s="778"/>
      <c r="S218" s="778"/>
    </row>
    <row r="219" spans="14:19" ht="27.95" customHeight="1">
      <c r="N219" s="778"/>
      <c r="O219" s="778"/>
      <c r="P219" s="778"/>
      <c r="Q219" s="778"/>
      <c r="R219" s="778"/>
      <c r="S219" s="778"/>
    </row>
    <row r="220" spans="14:19" ht="27.95" customHeight="1">
      <c r="N220" s="778"/>
      <c r="O220" s="778"/>
      <c r="P220" s="778"/>
      <c r="Q220" s="778"/>
      <c r="R220" s="778"/>
      <c r="S220" s="778"/>
    </row>
    <row r="221" spans="14:19" ht="27.95" customHeight="1">
      <c r="N221" s="778"/>
      <c r="O221" s="778"/>
      <c r="P221" s="778"/>
      <c r="Q221" s="778"/>
      <c r="R221" s="778"/>
      <c r="S221" s="778"/>
    </row>
    <row r="222" spans="14:19" ht="27.95" customHeight="1">
      <c r="N222" s="778"/>
      <c r="O222" s="778"/>
      <c r="P222" s="778"/>
      <c r="Q222" s="778"/>
      <c r="R222" s="778"/>
      <c r="S222" s="778"/>
    </row>
    <row r="223" spans="14:19" ht="27.95" customHeight="1">
      <c r="N223" s="778"/>
      <c r="O223" s="778"/>
      <c r="P223" s="778"/>
      <c r="Q223" s="778"/>
      <c r="R223" s="778"/>
      <c r="S223" s="778"/>
    </row>
    <row r="224" spans="14:19" ht="27.95" customHeight="1">
      <c r="N224" s="778"/>
      <c r="O224" s="778"/>
      <c r="P224" s="778"/>
      <c r="Q224" s="778"/>
      <c r="R224" s="778"/>
      <c r="S224" s="778"/>
    </row>
    <row r="225" spans="14:19" ht="27.95" customHeight="1">
      <c r="N225" s="778"/>
      <c r="O225" s="778"/>
      <c r="P225" s="778"/>
      <c r="Q225" s="778"/>
      <c r="R225" s="778"/>
      <c r="S225" s="778"/>
    </row>
    <row r="226" spans="14:19" ht="27.95" customHeight="1">
      <c r="N226" s="778"/>
      <c r="O226" s="778"/>
      <c r="P226" s="778"/>
      <c r="Q226" s="778"/>
      <c r="R226" s="778"/>
      <c r="S226" s="778"/>
    </row>
    <row r="227" spans="14:19" ht="27.95" customHeight="1">
      <c r="N227" s="778"/>
      <c r="O227" s="778"/>
      <c r="P227" s="778"/>
      <c r="Q227" s="778"/>
      <c r="R227" s="778"/>
      <c r="S227" s="778"/>
    </row>
    <row r="228" spans="14:19" ht="27.95" customHeight="1">
      <c r="N228" s="778"/>
      <c r="O228" s="778"/>
      <c r="P228" s="778"/>
      <c r="Q228" s="778"/>
      <c r="R228" s="778"/>
      <c r="S228" s="778"/>
    </row>
    <row r="229" spans="14:19" ht="27.95" customHeight="1">
      <c r="N229" s="778"/>
      <c r="O229" s="778"/>
      <c r="P229" s="778"/>
      <c r="Q229" s="778"/>
      <c r="R229" s="778"/>
      <c r="S229" s="778"/>
    </row>
    <row r="230" spans="14:19" ht="27.95" customHeight="1">
      <c r="N230" s="778"/>
      <c r="O230" s="778"/>
      <c r="P230" s="778"/>
      <c r="Q230" s="778"/>
      <c r="R230" s="778"/>
      <c r="S230" s="778"/>
    </row>
    <row r="231" spans="14:19" ht="27.95" customHeight="1">
      <c r="N231" s="778"/>
      <c r="O231" s="778"/>
      <c r="P231" s="778"/>
      <c r="Q231" s="778"/>
      <c r="R231" s="778"/>
      <c r="S231" s="778"/>
    </row>
    <row r="232" spans="14:19" ht="27.95" customHeight="1">
      <c r="N232" s="778"/>
      <c r="O232" s="778"/>
      <c r="P232" s="778"/>
      <c r="Q232" s="778"/>
      <c r="R232" s="778"/>
      <c r="S232" s="778"/>
    </row>
    <row r="233" spans="14:19" ht="27.95" customHeight="1">
      <c r="N233" s="778"/>
      <c r="O233" s="778"/>
      <c r="P233" s="778"/>
      <c r="Q233" s="778"/>
      <c r="R233" s="778"/>
      <c r="S233" s="778"/>
    </row>
    <row r="234" spans="14:19" ht="27.95" customHeight="1">
      <c r="N234" s="778"/>
      <c r="O234" s="778"/>
      <c r="P234" s="778"/>
      <c r="Q234" s="778"/>
      <c r="R234" s="778"/>
      <c r="S234" s="778"/>
    </row>
    <row r="235" spans="14:19" ht="27.95" customHeight="1">
      <c r="N235" s="778"/>
      <c r="O235" s="778"/>
      <c r="P235" s="778"/>
      <c r="Q235" s="778"/>
      <c r="R235" s="778"/>
      <c r="S235" s="778"/>
    </row>
    <row r="236" spans="14:19" ht="27.95" customHeight="1">
      <c r="N236" s="778"/>
      <c r="O236" s="778"/>
      <c r="P236" s="778"/>
      <c r="Q236" s="778"/>
      <c r="R236" s="778"/>
      <c r="S236" s="778"/>
    </row>
    <row r="237" spans="14:19" ht="27.95" customHeight="1">
      <c r="N237" s="778"/>
      <c r="O237" s="778"/>
      <c r="P237" s="778"/>
      <c r="Q237" s="778"/>
      <c r="R237" s="778"/>
      <c r="S237" s="778"/>
    </row>
    <row r="238" spans="14:19" ht="27.95" customHeight="1">
      <c r="N238" s="778"/>
      <c r="O238" s="778"/>
      <c r="P238" s="778"/>
      <c r="Q238" s="778"/>
      <c r="R238" s="778"/>
      <c r="S238" s="778"/>
    </row>
    <row r="239" spans="14:19" ht="27.95" customHeight="1">
      <c r="N239" s="778"/>
      <c r="O239" s="778"/>
      <c r="P239" s="778"/>
      <c r="Q239" s="778"/>
      <c r="R239" s="778"/>
      <c r="S239" s="778"/>
    </row>
    <row r="240" spans="14:19" ht="27.95" customHeight="1">
      <c r="N240" s="778"/>
      <c r="O240" s="778"/>
      <c r="P240" s="778"/>
      <c r="Q240" s="778"/>
      <c r="R240" s="778"/>
      <c r="S240" s="778"/>
    </row>
    <row r="241" spans="14:19" ht="27.95" customHeight="1">
      <c r="N241" s="778"/>
      <c r="O241" s="778"/>
      <c r="P241" s="778"/>
      <c r="Q241" s="778"/>
      <c r="R241" s="778"/>
      <c r="S241" s="778"/>
    </row>
    <row r="242" spans="14:19" ht="27.95" customHeight="1">
      <c r="N242" s="778"/>
      <c r="O242" s="778"/>
      <c r="P242" s="778"/>
      <c r="Q242" s="778"/>
      <c r="R242" s="778"/>
      <c r="S242" s="778"/>
    </row>
    <row r="243" spans="14:19" ht="27.95" customHeight="1">
      <c r="N243" s="778"/>
      <c r="O243" s="778"/>
      <c r="P243" s="778"/>
      <c r="Q243" s="778"/>
      <c r="R243" s="778"/>
      <c r="S243" s="778"/>
    </row>
    <row r="244" spans="14:19" ht="27.95" customHeight="1">
      <c r="N244" s="778"/>
      <c r="O244" s="778"/>
      <c r="P244" s="778"/>
      <c r="Q244" s="778"/>
      <c r="R244" s="778"/>
      <c r="S244" s="778"/>
    </row>
    <row r="245" spans="14:19" ht="27.95" customHeight="1">
      <c r="N245" s="778"/>
      <c r="O245" s="778"/>
      <c r="P245" s="778"/>
      <c r="Q245" s="778"/>
      <c r="R245" s="778"/>
      <c r="S245" s="778"/>
    </row>
    <row r="246" spans="14:19" ht="27.95" customHeight="1">
      <c r="N246" s="778"/>
      <c r="O246" s="778"/>
      <c r="P246" s="778"/>
      <c r="Q246" s="778"/>
      <c r="R246" s="778"/>
      <c r="S246" s="778"/>
    </row>
    <row r="247" spans="14:19" ht="27.95" customHeight="1">
      <c r="N247" s="778"/>
      <c r="O247" s="778"/>
      <c r="P247" s="778"/>
      <c r="Q247" s="778"/>
      <c r="R247" s="778"/>
      <c r="S247" s="778"/>
    </row>
    <row r="248" spans="14:19" ht="27.95" customHeight="1">
      <c r="N248" s="778"/>
      <c r="O248" s="778"/>
      <c r="P248" s="778"/>
      <c r="Q248" s="778"/>
      <c r="R248" s="778"/>
      <c r="S248" s="778"/>
    </row>
    <row r="249" spans="14:19" ht="27.95" customHeight="1">
      <c r="N249" s="778"/>
      <c r="O249" s="778"/>
      <c r="P249" s="778"/>
      <c r="Q249" s="778"/>
      <c r="R249" s="778"/>
      <c r="S249" s="778"/>
    </row>
    <row r="250" spans="14:19" ht="27.95" customHeight="1">
      <c r="N250" s="778"/>
      <c r="O250" s="778"/>
      <c r="P250" s="778"/>
      <c r="Q250" s="778"/>
      <c r="R250" s="778"/>
      <c r="S250" s="778"/>
    </row>
    <row r="251" spans="14:19" ht="27.95" customHeight="1">
      <c r="N251" s="778"/>
      <c r="O251" s="778"/>
      <c r="P251" s="778"/>
      <c r="Q251" s="778"/>
      <c r="R251" s="778"/>
      <c r="S251" s="778"/>
    </row>
    <row r="252" spans="14:19" ht="27.95" customHeight="1">
      <c r="N252" s="778"/>
      <c r="O252" s="778"/>
      <c r="P252" s="778"/>
      <c r="Q252" s="778"/>
      <c r="R252" s="778"/>
      <c r="S252" s="778"/>
    </row>
    <row r="253" spans="14:19" ht="27.95" customHeight="1">
      <c r="N253" s="778"/>
      <c r="O253" s="778"/>
      <c r="P253" s="778"/>
      <c r="Q253" s="778"/>
      <c r="R253" s="778"/>
      <c r="S253" s="778"/>
    </row>
    <row r="254" spans="14:19" ht="27.95" customHeight="1">
      <c r="N254" s="778"/>
      <c r="O254" s="778"/>
      <c r="P254" s="778"/>
      <c r="Q254" s="778"/>
      <c r="R254" s="778"/>
      <c r="S254" s="778"/>
    </row>
    <row r="255" spans="14:19" ht="27.95" customHeight="1">
      <c r="N255" s="778"/>
      <c r="O255" s="778"/>
      <c r="P255" s="778"/>
      <c r="Q255" s="778"/>
      <c r="R255" s="778"/>
      <c r="S255" s="778"/>
    </row>
    <row r="256" spans="14:19" ht="27.95" customHeight="1">
      <c r="N256" s="778"/>
      <c r="O256" s="778"/>
      <c r="P256" s="778"/>
      <c r="Q256" s="778"/>
      <c r="R256" s="778"/>
      <c r="S256" s="778"/>
    </row>
    <row r="257" spans="14:19" ht="27.95" customHeight="1">
      <c r="N257" s="778"/>
      <c r="O257" s="778"/>
      <c r="P257" s="778"/>
      <c r="Q257" s="778"/>
      <c r="R257" s="778"/>
      <c r="S257" s="778"/>
    </row>
    <row r="258" spans="14:19" ht="27.95" customHeight="1">
      <c r="N258" s="778"/>
      <c r="O258" s="778"/>
      <c r="P258" s="778"/>
      <c r="Q258" s="778"/>
      <c r="R258" s="778"/>
      <c r="S258" s="778"/>
    </row>
    <row r="259" spans="14:19" ht="27.95" customHeight="1">
      <c r="N259" s="778"/>
      <c r="O259" s="778"/>
      <c r="P259" s="778"/>
      <c r="Q259" s="778"/>
      <c r="R259" s="778"/>
      <c r="S259" s="778"/>
    </row>
    <row r="260" spans="14:19" ht="27.95" customHeight="1">
      <c r="N260" s="778"/>
      <c r="O260" s="778"/>
      <c r="P260" s="778"/>
      <c r="Q260" s="778"/>
      <c r="R260" s="778"/>
      <c r="S260" s="778"/>
    </row>
    <row r="261" spans="14:19" ht="27.95" customHeight="1">
      <c r="N261" s="778"/>
      <c r="O261" s="778"/>
      <c r="P261" s="778"/>
      <c r="Q261" s="778"/>
      <c r="R261" s="778"/>
      <c r="S261" s="778"/>
    </row>
    <row r="262" spans="14:19" ht="27.95" customHeight="1">
      <c r="N262" s="778"/>
      <c r="O262" s="778"/>
      <c r="P262" s="778"/>
      <c r="Q262" s="778"/>
      <c r="R262" s="778"/>
      <c r="S262" s="778"/>
    </row>
    <row r="263" spans="14:19" ht="27.95" customHeight="1">
      <c r="N263" s="778"/>
      <c r="O263" s="778"/>
      <c r="P263" s="778"/>
      <c r="Q263" s="778"/>
      <c r="R263" s="778"/>
      <c r="S263" s="778"/>
    </row>
    <row r="264" spans="14:19" ht="27.95" customHeight="1">
      <c r="N264" s="778"/>
      <c r="O264" s="778"/>
      <c r="P264" s="778"/>
      <c r="Q264" s="778"/>
      <c r="R264" s="778"/>
      <c r="S264" s="778"/>
    </row>
    <row r="265" spans="14:19" ht="27.95" customHeight="1">
      <c r="N265" s="778"/>
      <c r="O265" s="778"/>
      <c r="P265" s="778"/>
      <c r="Q265" s="778"/>
      <c r="R265" s="778"/>
      <c r="S265" s="778"/>
    </row>
    <row r="266" spans="14:19" ht="27.95" customHeight="1">
      <c r="N266" s="778"/>
      <c r="O266" s="778"/>
      <c r="P266" s="778"/>
      <c r="Q266" s="778"/>
      <c r="R266" s="778"/>
      <c r="S266" s="778"/>
    </row>
    <row r="267" spans="14:19" ht="27.95" customHeight="1">
      <c r="N267" s="778"/>
      <c r="O267" s="778"/>
      <c r="P267" s="778"/>
      <c r="Q267" s="778"/>
      <c r="R267" s="778"/>
      <c r="S267" s="778"/>
    </row>
    <row r="268" spans="14:19" ht="27.95" customHeight="1">
      <c r="N268" s="778"/>
      <c r="O268" s="778"/>
      <c r="P268" s="778"/>
      <c r="Q268" s="778"/>
      <c r="R268" s="778"/>
      <c r="S268" s="778"/>
    </row>
    <row r="269" spans="14:19" ht="27.95" customHeight="1">
      <c r="N269" s="778"/>
      <c r="O269" s="778"/>
      <c r="P269" s="778"/>
      <c r="Q269" s="778"/>
      <c r="R269" s="778"/>
      <c r="S269" s="778"/>
    </row>
    <row r="270" spans="14:19" ht="27.95" customHeight="1">
      <c r="N270" s="778"/>
      <c r="O270" s="778"/>
      <c r="P270" s="778"/>
      <c r="Q270" s="778"/>
      <c r="R270" s="778"/>
      <c r="S270" s="778"/>
    </row>
    <row r="271" spans="14:19" ht="27.95" customHeight="1">
      <c r="N271" s="778"/>
      <c r="O271" s="778"/>
      <c r="P271" s="778"/>
      <c r="Q271" s="778"/>
      <c r="R271" s="778"/>
      <c r="S271" s="778"/>
    </row>
    <row r="272" spans="14:19" ht="27.95" customHeight="1">
      <c r="N272" s="778"/>
      <c r="O272" s="778"/>
      <c r="P272" s="778"/>
      <c r="Q272" s="778"/>
      <c r="R272" s="778"/>
      <c r="S272" s="778"/>
    </row>
    <row r="273" spans="14:19" ht="27.95" customHeight="1">
      <c r="N273" s="778"/>
      <c r="O273" s="778"/>
      <c r="P273" s="778"/>
      <c r="Q273" s="778"/>
      <c r="R273" s="778"/>
      <c r="S273" s="778"/>
    </row>
    <row r="274" spans="14:19" ht="27.95" customHeight="1">
      <c r="N274" s="778"/>
      <c r="O274" s="778"/>
      <c r="P274" s="778"/>
      <c r="Q274" s="778"/>
      <c r="R274" s="778"/>
      <c r="S274" s="778"/>
    </row>
    <row r="275" spans="14:19" ht="27.95" customHeight="1">
      <c r="N275" s="778"/>
      <c r="O275" s="778"/>
      <c r="P275" s="778"/>
      <c r="Q275" s="778"/>
      <c r="R275" s="778"/>
      <c r="S275" s="778"/>
    </row>
    <row r="276" spans="14:19" ht="27.95" customHeight="1">
      <c r="N276" s="778"/>
      <c r="O276" s="778"/>
      <c r="P276" s="778"/>
      <c r="Q276" s="778"/>
      <c r="R276" s="778"/>
      <c r="S276" s="778"/>
    </row>
    <row r="277" spans="14:19" ht="27.95" customHeight="1">
      <c r="N277" s="778"/>
      <c r="O277" s="778"/>
      <c r="P277" s="778"/>
      <c r="Q277" s="778"/>
      <c r="R277" s="778"/>
      <c r="S277" s="778"/>
    </row>
    <row r="278" spans="14:19" ht="27.95" customHeight="1">
      <c r="N278" s="778"/>
      <c r="O278" s="778"/>
      <c r="P278" s="778"/>
      <c r="Q278" s="778"/>
      <c r="R278" s="778"/>
      <c r="S278" s="778"/>
    </row>
    <row r="279" spans="14:19" ht="27.95" customHeight="1">
      <c r="N279" s="778"/>
      <c r="O279" s="778"/>
      <c r="P279" s="778"/>
      <c r="Q279" s="778"/>
      <c r="R279" s="778"/>
      <c r="S279" s="778"/>
    </row>
    <row r="280" spans="14:19" ht="27.95" customHeight="1">
      <c r="N280" s="778"/>
      <c r="O280" s="778"/>
      <c r="P280" s="778"/>
      <c r="Q280" s="778"/>
      <c r="R280" s="778"/>
      <c r="S280" s="778"/>
    </row>
    <row r="281" spans="14:19" ht="27.95" customHeight="1">
      <c r="N281" s="778"/>
      <c r="O281" s="778"/>
      <c r="P281" s="778"/>
      <c r="Q281" s="778"/>
      <c r="R281" s="778"/>
      <c r="S281" s="778"/>
    </row>
    <row r="282" spans="14:19" ht="27.95" customHeight="1">
      <c r="N282" s="778"/>
      <c r="O282" s="778"/>
      <c r="P282" s="778"/>
      <c r="Q282" s="778"/>
      <c r="R282" s="778"/>
      <c r="S282" s="778"/>
    </row>
    <row r="283" spans="14:19" ht="27.95" customHeight="1">
      <c r="N283" s="778"/>
      <c r="O283" s="778"/>
      <c r="P283" s="778"/>
      <c r="Q283" s="778"/>
      <c r="R283" s="778"/>
      <c r="S283" s="778"/>
    </row>
    <row r="284" spans="14:19" ht="27.95" customHeight="1">
      <c r="N284" s="778"/>
      <c r="O284" s="778"/>
      <c r="P284" s="778"/>
      <c r="Q284" s="778"/>
      <c r="R284" s="778"/>
      <c r="S284" s="778"/>
    </row>
    <row r="285" spans="14:19" ht="27.95" customHeight="1">
      <c r="N285" s="778"/>
      <c r="O285" s="778"/>
      <c r="P285" s="778"/>
      <c r="Q285" s="778"/>
      <c r="R285" s="778"/>
      <c r="S285" s="778"/>
    </row>
    <row r="286" spans="14:19" ht="27.95" customHeight="1">
      <c r="N286" s="778"/>
      <c r="O286" s="778"/>
      <c r="P286" s="778"/>
      <c r="Q286" s="778"/>
      <c r="R286" s="778"/>
      <c r="S286" s="778"/>
    </row>
    <row r="287" spans="14:19" ht="27.95" customHeight="1">
      <c r="N287" s="778"/>
      <c r="O287" s="778"/>
      <c r="P287" s="778"/>
      <c r="Q287" s="778"/>
      <c r="R287" s="778"/>
      <c r="S287" s="778"/>
    </row>
    <row r="288" spans="14:19" ht="27.95" customHeight="1">
      <c r="N288" s="778"/>
      <c r="O288" s="778"/>
      <c r="P288" s="778"/>
      <c r="Q288" s="778"/>
      <c r="R288" s="778"/>
      <c r="S288" s="778"/>
    </row>
    <row r="289" spans="14:19" ht="27.95" customHeight="1">
      <c r="N289" s="778"/>
      <c r="O289" s="778"/>
      <c r="P289" s="778"/>
      <c r="Q289" s="778"/>
      <c r="R289" s="778"/>
      <c r="S289" s="778"/>
    </row>
    <row r="290" spans="14:19" ht="27.95" customHeight="1">
      <c r="N290" s="778"/>
      <c r="O290" s="778"/>
      <c r="P290" s="778"/>
      <c r="Q290" s="778"/>
      <c r="R290" s="778"/>
      <c r="S290" s="778"/>
    </row>
    <row r="291" spans="14:19" ht="27.95" customHeight="1">
      <c r="N291" s="778"/>
      <c r="O291" s="778"/>
      <c r="P291" s="778"/>
      <c r="Q291" s="778"/>
      <c r="R291" s="778"/>
      <c r="S291" s="778"/>
    </row>
    <row r="292" spans="14:19" ht="27.95" customHeight="1">
      <c r="N292" s="778"/>
      <c r="O292" s="778"/>
      <c r="P292" s="778"/>
      <c r="Q292" s="778"/>
      <c r="R292" s="778"/>
      <c r="S292" s="778"/>
    </row>
    <row r="293" spans="14:19" ht="27.95" customHeight="1">
      <c r="N293" s="778"/>
      <c r="O293" s="778"/>
      <c r="P293" s="778"/>
      <c r="Q293" s="778"/>
      <c r="R293" s="778"/>
      <c r="S293" s="778"/>
    </row>
    <row r="294" spans="14:19" ht="27.95" customHeight="1">
      <c r="N294" s="778"/>
      <c r="O294" s="778"/>
      <c r="P294" s="778"/>
      <c r="Q294" s="778"/>
      <c r="R294" s="778"/>
      <c r="S294" s="778"/>
    </row>
    <row r="295" spans="14:19" ht="27.95" customHeight="1">
      <c r="N295" s="778"/>
      <c r="O295" s="778"/>
      <c r="P295" s="778"/>
      <c r="Q295" s="778"/>
      <c r="R295" s="778"/>
      <c r="S295" s="778"/>
    </row>
    <row r="296" spans="14:19" ht="27.95" customHeight="1">
      <c r="N296" s="778"/>
      <c r="O296" s="778"/>
      <c r="P296" s="778"/>
      <c r="Q296" s="778"/>
      <c r="R296" s="778"/>
      <c r="S296" s="778"/>
    </row>
    <row r="297" spans="14:19" ht="27.95" customHeight="1">
      <c r="N297" s="778"/>
      <c r="O297" s="778"/>
      <c r="P297" s="778"/>
      <c r="Q297" s="778"/>
      <c r="R297" s="778"/>
      <c r="S297" s="778"/>
    </row>
    <row r="298" spans="14:19" ht="27.95" customHeight="1">
      <c r="N298" s="778"/>
      <c r="O298" s="778"/>
      <c r="P298" s="778"/>
      <c r="Q298" s="778"/>
      <c r="R298" s="778"/>
      <c r="S298" s="778"/>
    </row>
    <row r="299" spans="14:19" ht="27.95" customHeight="1">
      <c r="N299" s="778"/>
      <c r="O299" s="778"/>
      <c r="P299" s="778"/>
      <c r="Q299" s="778"/>
      <c r="R299" s="778"/>
      <c r="S299" s="778"/>
    </row>
    <row r="300" spans="14:19" ht="27.95" customHeight="1">
      <c r="N300" s="778"/>
      <c r="O300" s="778"/>
      <c r="P300" s="778"/>
      <c r="Q300" s="778"/>
      <c r="R300" s="778"/>
      <c r="S300" s="778"/>
    </row>
    <row r="301" spans="14:19" ht="27.95" customHeight="1">
      <c r="N301" s="778"/>
      <c r="O301" s="778"/>
      <c r="P301" s="778"/>
      <c r="Q301" s="778"/>
      <c r="R301" s="778"/>
      <c r="S301" s="778"/>
    </row>
    <row r="302" spans="14:19" ht="27.95" customHeight="1">
      <c r="N302" s="778"/>
      <c r="O302" s="778"/>
      <c r="P302" s="778"/>
      <c r="Q302" s="778"/>
      <c r="R302" s="778"/>
      <c r="S302" s="778"/>
    </row>
    <row r="303" spans="14:19" ht="27.95" customHeight="1">
      <c r="N303" s="778"/>
      <c r="O303" s="778"/>
      <c r="P303" s="778"/>
      <c r="Q303" s="778"/>
      <c r="R303" s="778"/>
      <c r="S303" s="778"/>
    </row>
    <row r="304" spans="14:19" ht="27.95" customHeight="1">
      <c r="N304" s="778"/>
      <c r="O304" s="778"/>
      <c r="P304" s="778"/>
      <c r="Q304" s="778"/>
      <c r="R304" s="778"/>
      <c r="S304" s="778"/>
    </row>
    <row r="305" spans="14:19" ht="27.95" customHeight="1">
      <c r="N305" s="778"/>
      <c r="O305" s="778"/>
      <c r="P305" s="778"/>
      <c r="Q305" s="778"/>
      <c r="R305" s="778"/>
      <c r="S305" s="778"/>
    </row>
    <row r="306" spans="14:19" ht="27.95" customHeight="1">
      <c r="N306" s="778"/>
      <c r="O306" s="778"/>
      <c r="P306" s="778"/>
      <c r="Q306" s="778"/>
      <c r="R306" s="778"/>
      <c r="S306" s="778"/>
    </row>
    <row r="307" spans="14:19" ht="27.95" customHeight="1">
      <c r="N307" s="778"/>
      <c r="O307" s="778"/>
      <c r="P307" s="778"/>
      <c r="Q307" s="778"/>
      <c r="R307" s="778"/>
      <c r="S307" s="778"/>
    </row>
    <row r="308" spans="14:19" ht="27.95" customHeight="1">
      <c r="N308" s="778"/>
      <c r="O308" s="778"/>
      <c r="P308" s="778"/>
      <c r="Q308" s="778"/>
      <c r="R308" s="778"/>
      <c r="S308" s="778"/>
    </row>
    <row r="309" spans="14:19" ht="27.95" customHeight="1">
      <c r="N309" s="778"/>
      <c r="O309" s="778"/>
      <c r="P309" s="778"/>
      <c r="Q309" s="778"/>
      <c r="R309" s="778"/>
      <c r="S309" s="778"/>
    </row>
    <row r="310" spans="14:19" ht="27.95" customHeight="1">
      <c r="N310" s="778"/>
      <c r="O310" s="778"/>
      <c r="P310" s="778"/>
      <c r="Q310" s="778"/>
      <c r="R310" s="778"/>
      <c r="S310" s="778"/>
    </row>
    <row r="311" spans="14:19" ht="27.95" customHeight="1">
      <c r="N311" s="778"/>
      <c r="O311" s="778"/>
      <c r="P311" s="778"/>
      <c r="Q311" s="778"/>
      <c r="R311" s="778"/>
      <c r="S311" s="778"/>
    </row>
    <row r="312" spans="14:19" ht="27.95" customHeight="1">
      <c r="N312" s="778"/>
      <c r="O312" s="778"/>
      <c r="P312" s="778"/>
      <c r="Q312" s="778"/>
      <c r="R312" s="778"/>
      <c r="S312" s="778"/>
    </row>
    <row r="313" spans="14:19" ht="27.95" customHeight="1">
      <c r="N313" s="778"/>
      <c r="O313" s="778"/>
      <c r="P313" s="778"/>
      <c r="Q313" s="778"/>
      <c r="R313" s="778"/>
      <c r="S313" s="778"/>
    </row>
    <row r="314" spans="14:19" ht="27.95" customHeight="1">
      <c r="N314" s="778"/>
      <c r="O314" s="778"/>
      <c r="P314" s="778"/>
      <c r="Q314" s="778"/>
      <c r="R314" s="778"/>
      <c r="S314" s="778"/>
    </row>
    <row r="315" spans="14:19" ht="27.95" customHeight="1">
      <c r="N315" s="778"/>
      <c r="O315" s="778"/>
      <c r="P315" s="778"/>
      <c r="Q315" s="778"/>
      <c r="R315" s="778"/>
      <c r="S315" s="778"/>
    </row>
    <row r="316" spans="14:19" ht="27.95" customHeight="1">
      <c r="N316" s="778"/>
      <c r="O316" s="778"/>
      <c r="P316" s="778"/>
      <c r="Q316" s="778"/>
      <c r="R316" s="778"/>
      <c r="S316" s="778"/>
    </row>
    <row r="317" spans="14:19" ht="27.95" customHeight="1">
      <c r="N317" s="778"/>
      <c r="O317" s="778"/>
      <c r="P317" s="778"/>
      <c r="Q317" s="778"/>
      <c r="R317" s="778"/>
      <c r="S317" s="778"/>
    </row>
    <row r="318" spans="14:19" ht="27.95" customHeight="1">
      <c r="N318" s="778"/>
      <c r="O318" s="778"/>
      <c r="P318" s="778"/>
      <c r="Q318" s="778"/>
      <c r="R318" s="778"/>
      <c r="S318" s="778"/>
    </row>
    <row r="319" spans="14:19" ht="27.95" customHeight="1">
      <c r="N319" s="778"/>
      <c r="O319" s="778"/>
      <c r="P319" s="778"/>
      <c r="Q319" s="778"/>
      <c r="R319" s="778"/>
      <c r="S319" s="778"/>
    </row>
    <row r="320" spans="14:19" ht="27.95" customHeight="1">
      <c r="N320" s="778"/>
      <c r="O320" s="778"/>
      <c r="P320" s="778"/>
      <c r="Q320" s="778"/>
      <c r="R320" s="778"/>
      <c r="S320" s="778"/>
    </row>
    <row r="321" spans="14:19" ht="27.95" customHeight="1">
      <c r="N321" s="778"/>
      <c r="O321" s="778"/>
      <c r="P321" s="778"/>
      <c r="Q321" s="778"/>
      <c r="R321" s="778"/>
      <c r="S321" s="778"/>
    </row>
    <row r="322" spans="14:19" ht="27.95" customHeight="1">
      <c r="N322" s="778"/>
      <c r="O322" s="778"/>
      <c r="P322" s="778"/>
      <c r="Q322" s="778"/>
      <c r="R322" s="778"/>
      <c r="S322" s="778"/>
    </row>
    <row r="323" spans="14:19" ht="27.95" customHeight="1">
      <c r="N323" s="778"/>
      <c r="O323" s="778"/>
      <c r="P323" s="778"/>
      <c r="Q323" s="778"/>
      <c r="R323" s="778"/>
      <c r="S323" s="778"/>
    </row>
    <row r="324" spans="14:19" ht="27.95" customHeight="1">
      <c r="N324" s="778"/>
      <c r="O324" s="778"/>
      <c r="P324" s="778"/>
      <c r="Q324" s="778"/>
      <c r="R324" s="778"/>
      <c r="S324" s="778"/>
    </row>
    <row r="325" spans="14:19" ht="27.95" customHeight="1">
      <c r="N325" s="778"/>
      <c r="O325" s="778"/>
      <c r="P325" s="778"/>
      <c r="Q325" s="778"/>
      <c r="R325" s="778"/>
      <c r="S325" s="778"/>
    </row>
    <row r="326" spans="14:19" ht="27.95" customHeight="1">
      <c r="N326" s="778"/>
      <c r="O326" s="778"/>
      <c r="P326" s="778"/>
      <c r="Q326" s="778"/>
      <c r="R326" s="778"/>
      <c r="S326" s="778"/>
    </row>
    <row r="327" spans="14:19" ht="27.95" customHeight="1">
      <c r="N327" s="778"/>
      <c r="O327" s="778"/>
      <c r="P327" s="778"/>
      <c r="Q327" s="778"/>
      <c r="R327" s="778"/>
      <c r="S327" s="778"/>
    </row>
    <row r="328" spans="14:19" ht="27.95" customHeight="1">
      <c r="N328" s="778"/>
      <c r="O328" s="778"/>
      <c r="P328" s="778"/>
      <c r="Q328" s="778"/>
      <c r="R328" s="778"/>
      <c r="S328" s="778"/>
    </row>
    <row r="329" spans="14:19" ht="27.95" customHeight="1">
      <c r="N329" s="778"/>
      <c r="O329" s="778"/>
      <c r="P329" s="778"/>
      <c r="Q329" s="778"/>
      <c r="R329" s="778"/>
      <c r="S329" s="778"/>
    </row>
    <row r="330" spans="14:19" ht="27.95" customHeight="1">
      <c r="N330" s="778"/>
      <c r="O330" s="778"/>
      <c r="P330" s="778"/>
      <c r="Q330" s="778"/>
      <c r="R330" s="778"/>
      <c r="S330" s="778"/>
    </row>
    <row r="331" spans="14:19" ht="27.95" customHeight="1">
      <c r="N331" s="778"/>
      <c r="O331" s="778"/>
      <c r="P331" s="778"/>
      <c r="Q331" s="778"/>
      <c r="R331" s="778"/>
      <c r="S331" s="778"/>
    </row>
    <row r="332" spans="14:19" ht="27.95" customHeight="1">
      <c r="N332" s="778"/>
      <c r="O332" s="778"/>
      <c r="P332" s="778"/>
      <c r="Q332" s="778"/>
      <c r="R332" s="778"/>
      <c r="S332" s="778"/>
    </row>
    <row r="333" spans="14:19" ht="27.95" customHeight="1">
      <c r="N333" s="778"/>
      <c r="O333" s="778"/>
      <c r="P333" s="778"/>
      <c r="Q333" s="778"/>
      <c r="R333" s="778"/>
      <c r="S333" s="778"/>
    </row>
    <row r="334" spans="14:19" ht="27.95" customHeight="1">
      <c r="N334" s="778"/>
      <c r="O334" s="778"/>
      <c r="P334" s="778"/>
      <c r="Q334" s="778"/>
      <c r="R334" s="778"/>
      <c r="S334" s="778"/>
    </row>
    <row r="335" spans="14:19" ht="27.95" customHeight="1">
      <c r="N335" s="778"/>
      <c r="O335" s="778"/>
      <c r="P335" s="778"/>
      <c r="Q335" s="778"/>
      <c r="R335" s="778"/>
      <c r="S335" s="778"/>
    </row>
    <row r="336" spans="14:19" ht="27.95" customHeight="1">
      <c r="N336" s="778"/>
      <c r="O336" s="778"/>
      <c r="P336" s="778"/>
      <c r="Q336" s="778"/>
      <c r="R336" s="778"/>
      <c r="S336" s="778"/>
    </row>
    <row r="337" spans="14:19" ht="27.95" customHeight="1">
      <c r="N337" s="778"/>
      <c r="O337" s="778"/>
      <c r="P337" s="778"/>
      <c r="Q337" s="778"/>
      <c r="R337" s="778"/>
      <c r="S337" s="778"/>
    </row>
    <row r="338" spans="14:19" ht="27.95" customHeight="1">
      <c r="N338" s="778"/>
      <c r="O338" s="778"/>
      <c r="P338" s="778"/>
      <c r="Q338" s="778"/>
      <c r="R338" s="778"/>
      <c r="S338" s="778"/>
    </row>
    <row r="339" spans="14:19" ht="27.95" customHeight="1">
      <c r="N339" s="778"/>
      <c r="O339" s="778"/>
      <c r="P339" s="778"/>
      <c r="Q339" s="778"/>
      <c r="R339" s="778"/>
      <c r="S339" s="778"/>
    </row>
    <row r="340" spans="14:19" ht="27.95" customHeight="1">
      <c r="N340" s="778"/>
      <c r="O340" s="778"/>
      <c r="P340" s="778"/>
      <c r="Q340" s="778"/>
      <c r="R340" s="778"/>
      <c r="S340" s="778"/>
    </row>
    <row r="341" spans="14:19" ht="27.95" customHeight="1">
      <c r="N341" s="778"/>
      <c r="O341" s="778"/>
      <c r="P341" s="778"/>
      <c r="Q341" s="778"/>
      <c r="R341" s="778"/>
      <c r="S341" s="778"/>
    </row>
    <row r="342" spans="14:19" ht="27.95" customHeight="1">
      <c r="N342" s="778"/>
      <c r="O342" s="778"/>
      <c r="P342" s="778"/>
      <c r="Q342" s="778"/>
      <c r="R342" s="778"/>
      <c r="S342" s="778"/>
    </row>
    <row r="343" spans="14:19" ht="27.95" customHeight="1">
      <c r="N343" s="778"/>
      <c r="O343" s="778"/>
      <c r="P343" s="778"/>
      <c r="Q343" s="778"/>
      <c r="R343" s="778"/>
      <c r="S343" s="778"/>
    </row>
    <row r="344" spans="14:19" ht="27.95" customHeight="1">
      <c r="N344" s="778"/>
      <c r="O344" s="778"/>
      <c r="P344" s="778"/>
      <c r="Q344" s="778"/>
      <c r="R344" s="778"/>
      <c r="S344" s="778"/>
    </row>
    <row r="345" spans="14:19" ht="27.95" customHeight="1">
      <c r="N345" s="778"/>
      <c r="O345" s="778"/>
      <c r="P345" s="778"/>
      <c r="Q345" s="778"/>
      <c r="R345" s="778"/>
      <c r="S345" s="778"/>
    </row>
    <row r="346" spans="14:19" ht="27.95" customHeight="1">
      <c r="N346" s="778"/>
      <c r="O346" s="778"/>
      <c r="P346" s="778"/>
      <c r="Q346" s="778"/>
      <c r="R346" s="778"/>
      <c r="S346" s="778"/>
    </row>
    <row r="347" spans="14:19" ht="27.95" customHeight="1">
      <c r="N347" s="778"/>
      <c r="O347" s="778"/>
      <c r="P347" s="778"/>
      <c r="Q347" s="778"/>
      <c r="R347" s="778"/>
      <c r="S347" s="778"/>
    </row>
    <row r="348" spans="14:19" ht="27.95" customHeight="1">
      <c r="N348" s="778"/>
      <c r="O348" s="778"/>
      <c r="P348" s="778"/>
      <c r="Q348" s="778"/>
      <c r="R348" s="778"/>
      <c r="S348" s="778"/>
    </row>
    <row r="349" spans="14:19" ht="27.95" customHeight="1">
      <c r="N349" s="778"/>
      <c r="O349" s="778"/>
      <c r="P349" s="778"/>
      <c r="Q349" s="778"/>
      <c r="R349" s="778"/>
      <c r="S349" s="778"/>
    </row>
    <row r="350" spans="14:19" ht="27.95" customHeight="1">
      <c r="N350" s="778"/>
      <c r="O350" s="778"/>
      <c r="P350" s="778"/>
      <c r="Q350" s="778"/>
      <c r="R350" s="778"/>
      <c r="S350" s="778"/>
    </row>
    <row r="351" spans="14:19" ht="27.95" customHeight="1">
      <c r="N351" s="778"/>
      <c r="O351" s="778"/>
      <c r="P351" s="778"/>
      <c r="Q351" s="778"/>
      <c r="R351" s="778"/>
      <c r="S351" s="778"/>
    </row>
    <row r="352" spans="14:19" ht="27.95" customHeight="1">
      <c r="N352" s="778"/>
      <c r="O352" s="778"/>
      <c r="P352" s="778"/>
      <c r="Q352" s="778"/>
      <c r="R352" s="778"/>
      <c r="S352" s="778"/>
    </row>
    <row r="353" spans="14:19" ht="27.95" customHeight="1">
      <c r="N353" s="778"/>
      <c r="O353" s="778"/>
      <c r="P353" s="778"/>
      <c r="Q353" s="778"/>
      <c r="R353" s="778"/>
      <c r="S353" s="778"/>
    </row>
    <row r="354" spans="14:19" ht="27.95" customHeight="1">
      <c r="N354" s="778"/>
      <c r="O354" s="778"/>
      <c r="P354" s="778"/>
      <c r="Q354" s="778"/>
      <c r="R354" s="778"/>
      <c r="S354" s="778"/>
    </row>
    <row r="355" spans="14:19" ht="27.95" customHeight="1">
      <c r="N355" s="778"/>
      <c r="O355" s="778"/>
      <c r="P355" s="778"/>
      <c r="Q355" s="778"/>
      <c r="R355" s="778"/>
      <c r="S355" s="778"/>
    </row>
    <row r="356" spans="14:19" ht="27.95" customHeight="1">
      <c r="N356" s="778"/>
      <c r="O356" s="778"/>
      <c r="P356" s="778"/>
      <c r="Q356" s="778"/>
      <c r="R356" s="778"/>
      <c r="S356" s="778"/>
    </row>
    <row r="357" spans="14:19" ht="27.95" customHeight="1">
      <c r="N357" s="778"/>
      <c r="O357" s="778"/>
      <c r="P357" s="778"/>
      <c r="Q357" s="778"/>
      <c r="R357" s="778"/>
      <c r="S357" s="778"/>
    </row>
    <row r="358" spans="14:19" ht="27.95" customHeight="1">
      <c r="N358" s="778"/>
      <c r="O358" s="778"/>
      <c r="P358" s="778"/>
      <c r="Q358" s="778"/>
      <c r="R358" s="778"/>
      <c r="S358" s="778"/>
    </row>
    <row r="359" spans="14:19" ht="27.95" customHeight="1">
      <c r="N359" s="778"/>
      <c r="O359" s="778"/>
      <c r="P359" s="778"/>
      <c r="Q359" s="778"/>
      <c r="R359" s="778"/>
      <c r="S359" s="778"/>
    </row>
    <row r="360" spans="14:19" ht="27.95" customHeight="1">
      <c r="N360" s="778"/>
      <c r="O360" s="778"/>
      <c r="P360" s="778"/>
      <c r="Q360" s="778"/>
      <c r="R360" s="778"/>
      <c r="S360" s="778"/>
    </row>
    <row r="361" spans="14:19" ht="27.95" customHeight="1">
      <c r="N361" s="778"/>
      <c r="O361" s="778"/>
      <c r="P361" s="778"/>
      <c r="Q361" s="778"/>
      <c r="R361" s="778"/>
      <c r="S361" s="778"/>
    </row>
    <row r="362" spans="14:19" ht="27.95" customHeight="1">
      <c r="N362" s="778"/>
      <c r="O362" s="778"/>
      <c r="P362" s="778"/>
      <c r="Q362" s="778"/>
      <c r="R362" s="778"/>
      <c r="S362" s="778"/>
    </row>
    <row r="363" spans="14:19" ht="27.95" customHeight="1">
      <c r="N363" s="778"/>
      <c r="O363" s="778"/>
      <c r="P363" s="778"/>
      <c r="Q363" s="778"/>
      <c r="R363" s="778"/>
      <c r="S363" s="778"/>
    </row>
    <row r="364" spans="14:19" ht="27.95" customHeight="1">
      <c r="N364" s="778"/>
      <c r="O364" s="778"/>
      <c r="P364" s="778"/>
      <c r="Q364" s="778"/>
      <c r="R364" s="778"/>
      <c r="S364" s="778"/>
    </row>
    <row r="365" spans="14:19" ht="27.95" customHeight="1">
      <c r="N365" s="778"/>
      <c r="O365" s="778"/>
      <c r="P365" s="778"/>
      <c r="Q365" s="778"/>
      <c r="R365" s="778"/>
      <c r="S365" s="778"/>
    </row>
    <row r="366" spans="14:19" ht="27.95" customHeight="1">
      <c r="N366" s="778"/>
      <c r="O366" s="778"/>
      <c r="P366" s="778"/>
      <c r="Q366" s="778"/>
      <c r="R366" s="778"/>
      <c r="S366" s="778"/>
    </row>
    <row r="367" spans="14:19" ht="27.95" customHeight="1">
      <c r="N367" s="778"/>
      <c r="O367" s="778"/>
      <c r="P367" s="778"/>
      <c r="Q367" s="778"/>
      <c r="R367" s="778"/>
      <c r="S367" s="778"/>
    </row>
    <row r="368" spans="14:19" ht="27.95" customHeight="1">
      <c r="N368" s="778"/>
      <c r="O368" s="778"/>
      <c r="P368" s="778"/>
      <c r="Q368" s="778"/>
      <c r="R368" s="778"/>
      <c r="S368" s="778"/>
    </row>
    <row r="369" spans="14:19" ht="27.95" customHeight="1">
      <c r="N369" s="778"/>
      <c r="O369" s="778"/>
      <c r="P369" s="778"/>
      <c r="Q369" s="778"/>
      <c r="R369" s="778"/>
      <c r="S369" s="778"/>
    </row>
    <row r="370" spans="14:19" ht="27.95" customHeight="1">
      <c r="N370" s="778"/>
      <c r="O370" s="778"/>
      <c r="P370" s="778"/>
      <c r="Q370" s="778"/>
      <c r="R370" s="778"/>
      <c r="S370" s="778"/>
    </row>
    <row r="371" spans="14:19" ht="27.95" customHeight="1">
      <c r="N371" s="778"/>
      <c r="O371" s="778"/>
      <c r="P371" s="778"/>
      <c r="Q371" s="778"/>
      <c r="R371" s="778"/>
      <c r="S371" s="778"/>
    </row>
    <row r="372" spans="14:19" ht="27.95" customHeight="1">
      <c r="N372" s="778"/>
      <c r="O372" s="778"/>
      <c r="P372" s="778"/>
      <c r="Q372" s="778"/>
      <c r="R372" s="778"/>
      <c r="S372" s="778"/>
    </row>
    <row r="373" spans="14:19" ht="27.95" customHeight="1">
      <c r="N373" s="778"/>
      <c r="O373" s="778"/>
      <c r="P373" s="778"/>
      <c r="Q373" s="778"/>
      <c r="R373" s="778"/>
      <c r="S373" s="778"/>
    </row>
    <row r="374" spans="14:19" ht="27.95" customHeight="1">
      <c r="N374" s="778"/>
      <c r="O374" s="778"/>
      <c r="P374" s="778"/>
      <c r="Q374" s="778"/>
      <c r="R374" s="778"/>
      <c r="S374" s="778"/>
    </row>
    <row r="375" spans="14:19" ht="27.95" customHeight="1">
      <c r="N375" s="778"/>
      <c r="O375" s="778"/>
      <c r="P375" s="778"/>
      <c r="Q375" s="778"/>
      <c r="R375" s="778"/>
      <c r="S375" s="778"/>
    </row>
    <row r="376" spans="14:19" ht="27.95" customHeight="1">
      <c r="N376" s="778"/>
      <c r="O376" s="778"/>
      <c r="P376" s="778"/>
      <c r="Q376" s="778"/>
      <c r="R376" s="778"/>
      <c r="S376" s="778"/>
    </row>
    <row r="377" spans="14:19" ht="27.95" customHeight="1">
      <c r="N377" s="778"/>
      <c r="O377" s="778"/>
      <c r="P377" s="778"/>
      <c r="Q377" s="778"/>
      <c r="R377" s="778"/>
      <c r="S377" s="778"/>
    </row>
    <row r="378" spans="14:19" ht="27.95" customHeight="1">
      <c r="N378" s="778"/>
      <c r="O378" s="778"/>
      <c r="P378" s="778"/>
      <c r="Q378" s="778"/>
      <c r="R378" s="778"/>
      <c r="S378" s="778"/>
    </row>
    <row r="379" spans="14:19" ht="27.95" customHeight="1">
      <c r="N379" s="778"/>
      <c r="O379" s="778"/>
      <c r="P379" s="778"/>
      <c r="Q379" s="778"/>
      <c r="R379" s="778"/>
      <c r="S379" s="778"/>
    </row>
    <row r="380" spans="14:19" ht="27.95" customHeight="1">
      <c r="N380" s="778"/>
      <c r="O380" s="778"/>
      <c r="P380" s="778"/>
      <c r="Q380" s="778"/>
      <c r="R380" s="778"/>
      <c r="S380" s="778"/>
    </row>
    <row r="381" spans="14:19" ht="27.95" customHeight="1">
      <c r="N381" s="778"/>
      <c r="O381" s="778"/>
      <c r="P381" s="778"/>
      <c r="Q381" s="778"/>
      <c r="R381" s="778"/>
      <c r="S381" s="778"/>
    </row>
    <row r="382" spans="14:19" ht="27.95" customHeight="1">
      <c r="N382" s="778"/>
      <c r="O382" s="778"/>
      <c r="P382" s="778"/>
      <c r="Q382" s="778"/>
      <c r="R382" s="778"/>
      <c r="S382" s="778"/>
    </row>
    <row r="383" spans="14:19" ht="27.95" customHeight="1">
      <c r="N383" s="778"/>
      <c r="O383" s="778"/>
      <c r="P383" s="778"/>
      <c r="Q383" s="778"/>
      <c r="R383" s="778"/>
      <c r="S383" s="778"/>
    </row>
    <row r="384" spans="14:19" ht="27.95" customHeight="1">
      <c r="N384" s="778"/>
      <c r="O384" s="778"/>
      <c r="P384" s="778"/>
      <c r="Q384" s="778"/>
      <c r="R384" s="778"/>
      <c r="S384" s="778"/>
    </row>
    <row r="385" spans="14:19" ht="27.95" customHeight="1">
      <c r="N385" s="778"/>
      <c r="O385" s="778"/>
      <c r="P385" s="778"/>
      <c r="Q385" s="778"/>
      <c r="R385" s="778"/>
      <c r="S385" s="778"/>
    </row>
    <row r="386" spans="14:19" ht="27.95" customHeight="1">
      <c r="N386" s="778"/>
      <c r="O386" s="778"/>
      <c r="P386" s="778"/>
      <c r="Q386" s="778"/>
      <c r="R386" s="778"/>
      <c r="S386" s="778"/>
    </row>
    <row r="387" spans="14:19" ht="27.95" customHeight="1">
      <c r="N387" s="778"/>
      <c r="O387" s="778"/>
      <c r="P387" s="778"/>
      <c r="Q387" s="778"/>
      <c r="R387" s="778"/>
      <c r="S387" s="778"/>
    </row>
    <row r="388" spans="14:19" ht="27.95" customHeight="1">
      <c r="N388" s="778"/>
      <c r="O388" s="778"/>
      <c r="P388" s="778"/>
      <c r="Q388" s="778"/>
      <c r="R388" s="778"/>
      <c r="S388" s="778"/>
    </row>
    <row r="389" spans="14:19" ht="27.95" customHeight="1">
      <c r="N389" s="778"/>
      <c r="O389" s="778"/>
      <c r="P389" s="778"/>
      <c r="Q389" s="778"/>
      <c r="R389" s="778"/>
      <c r="S389" s="778"/>
    </row>
    <row r="390" spans="14:19" ht="27.95" customHeight="1">
      <c r="N390" s="778"/>
      <c r="O390" s="778"/>
      <c r="P390" s="778"/>
      <c r="Q390" s="778"/>
      <c r="R390" s="778"/>
      <c r="S390" s="778"/>
    </row>
    <row r="391" spans="14:19" ht="27.95" customHeight="1">
      <c r="N391" s="778"/>
      <c r="O391" s="778"/>
      <c r="P391" s="778"/>
      <c r="Q391" s="778"/>
      <c r="R391" s="778"/>
      <c r="S391" s="778"/>
    </row>
    <row r="392" spans="14:19" ht="27.95" customHeight="1">
      <c r="N392" s="778"/>
      <c r="O392" s="778"/>
      <c r="P392" s="778"/>
      <c r="Q392" s="778"/>
      <c r="R392" s="778"/>
      <c r="S392" s="778"/>
    </row>
    <row r="393" spans="14:19" ht="27.95" customHeight="1">
      <c r="N393" s="778"/>
      <c r="O393" s="778"/>
      <c r="P393" s="778"/>
      <c r="Q393" s="778"/>
      <c r="R393" s="778"/>
      <c r="S393" s="778"/>
    </row>
    <row r="394" spans="14:19" ht="27.95" customHeight="1">
      <c r="N394" s="778"/>
      <c r="O394" s="778"/>
      <c r="P394" s="778"/>
      <c r="Q394" s="778"/>
      <c r="R394" s="778"/>
      <c r="S394" s="778"/>
    </row>
    <row r="395" spans="14:19" ht="27.95" customHeight="1">
      <c r="N395" s="778"/>
      <c r="O395" s="778"/>
      <c r="P395" s="778"/>
      <c r="Q395" s="778"/>
      <c r="R395" s="778"/>
      <c r="S395" s="778"/>
    </row>
    <row r="396" spans="14:19" ht="27.95" customHeight="1">
      <c r="N396" s="778"/>
      <c r="O396" s="778"/>
      <c r="P396" s="778"/>
      <c r="Q396" s="778"/>
      <c r="R396" s="778"/>
      <c r="S396" s="778"/>
    </row>
    <row r="397" spans="14:19" ht="27.95" customHeight="1">
      <c r="N397" s="778"/>
      <c r="O397" s="778"/>
      <c r="P397" s="778"/>
      <c r="Q397" s="778"/>
      <c r="R397" s="778"/>
      <c r="S397" s="778"/>
    </row>
    <row r="398" spans="14:19" ht="27.95" customHeight="1">
      <c r="N398" s="778"/>
      <c r="O398" s="778"/>
      <c r="P398" s="778"/>
      <c r="Q398" s="778"/>
      <c r="R398" s="778"/>
      <c r="S398" s="778"/>
    </row>
    <row r="399" spans="14:19" ht="27.95" customHeight="1">
      <c r="N399" s="778"/>
      <c r="O399" s="778"/>
      <c r="P399" s="778"/>
      <c r="Q399" s="778"/>
      <c r="R399" s="778"/>
      <c r="S399" s="778"/>
    </row>
    <row r="400" spans="14:19" ht="27.95" customHeight="1">
      <c r="N400" s="778"/>
      <c r="O400" s="778"/>
      <c r="P400" s="778"/>
      <c r="Q400" s="778"/>
      <c r="R400" s="778"/>
      <c r="S400" s="778"/>
    </row>
    <row r="401" spans="14:19" ht="27.95" customHeight="1">
      <c r="N401" s="778"/>
      <c r="O401" s="778"/>
      <c r="P401" s="778"/>
      <c r="Q401" s="778"/>
      <c r="R401" s="778"/>
      <c r="S401" s="778"/>
    </row>
    <row r="402" spans="14:19" ht="27.95" customHeight="1">
      <c r="N402" s="778"/>
      <c r="O402" s="778"/>
      <c r="P402" s="778"/>
      <c r="Q402" s="778"/>
      <c r="R402" s="778"/>
      <c r="S402" s="778"/>
    </row>
    <row r="403" spans="14:19" ht="27.95" customHeight="1">
      <c r="N403" s="778"/>
      <c r="O403" s="778"/>
      <c r="P403" s="778"/>
      <c r="Q403" s="778"/>
      <c r="R403" s="778"/>
      <c r="S403" s="778"/>
    </row>
    <row r="404" spans="14:19" ht="27.95" customHeight="1">
      <c r="N404" s="778"/>
      <c r="O404" s="778"/>
      <c r="P404" s="778"/>
      <c r="Q404" s="778"/>
      <c r="R404" s="778"/>
      <c r="S404" s="778"/>
    </row>
    <row r="405" spans="14:19" ht="27.95" customHeight="1">
      <c r="N405" s="778"/>
      <c r="O405" s="778"/>
      <c r="P405" s="778"/>
      <c r="Q405" s="778"/>
      <c r="R405" s="778"/>
      <c r="S405" s="778"/>
    </row>
    <row r="406" spans="14:19" ht="27.95" customHeight="1">
      <c r="N406" s="778"/>
      <c r="O406" s="778"/>
      <c r="P406" s="778"/>
      <c r="Q406" s="778"/>
      <c r="R406" s="778"/>
      <c r="S406" s="778"/>
    </row>
    <row r="407" spans="14:19" ht="27.95" customHeight="1">
      <c r="N407" s="778"/>
      <c r="O407" s="778"/>
      <c r="P407" s="778"/>
      <c r="Q407" s="778"/>
      <c r="R407" s="778"/>
      <c r="S407" s="778"/>
    </row>
    <row r="408" spans="14:19" ht="27.95" customHeight="1">
      <c r="N408" s="778"/>
      <c r="O408" s="778"/>
      <c r="P408" s="778"/>
      <c r="Q408" s="778"/>
      <c r="R408" s="778"/>
      <c r="S408" s="778"/>
    </row>
    <row r="409" spans="14:19" ht="27.95" customHeight="1">
      <c r="N409" s="778"/>
      <c r="O409" s="778"/>
      <c r="P409" s="778"/>
      <c r="Q409" s="778"/>
      <c r="R409" s="778"/>
      <c r="S409" s="778"/>
    </row>
    <row r="410" spans="14:19" ht="27.95" customHeight="1">
      <c r="N410" s="778"/>
      <c r="O410" s="778"/>
      <c r="P410" s="778"/>
      <c r="Q410" s="778"/>
      <c r="R410" s="778"/>
      <c r="S410" s="778"/>
    </row>
    <row r="411" spans="14:19" ht="27.95" customHeight="1">
      <c r="N411" s="778"/>
      <c r="O411" s="778"/>
      <c r="P411" s="778"/>
      <c r="Q411" s="778"/>
      <c r="R411" s="778"/>
      <c r="S411" s="778"/>
    </row>
    <row r="412" spans="14:19" ht="27.95" customHeight="1">
      <c r="N412" s="778"/>
      <c r="O412" s="778"/>
      <c r="P412" s="778"/>
      <c r="Q412" s="778"/>
      <c r="R412" s="778"/>
      <c r="S412" s="778"/>
    </row>
    <row r="413" spans="14:19" ht="27.95" customHeight="1">
      <c r="N413" s="778"/>
      <c r="O413" s="778"/>
      <c r="P413" s="778"/>
      <c r="Q413" s="778"/>
      <c r="R413" s="778"/>
      <c r="S413" s="778"/>
    </row>
    <row r="414" spans="14:19" ht="27.95" customHeight="1">
      <c r="N414" s="778"/>
      <c r="O414" s="778"/>
      <c r="P414" s="778"/>
      <c r="Q414" s="778"/>
      <c r="R414" s="778"/>
      <c r="S414" s="778"/>
    </row>
    <row r="415" spans="14:19" ht="27.95" customHeight="1">
      <c r="N415" s="778"/>
      <c r="O415" s="778"/>
      <c r="P415" s="778"/>
      <c r="Q415" s="778"/>
      <c r="R415" s="778"/>
      <c r="S415" s="778"/>
    </row>
    <row r="416" spans="14:19" ht="27.95" customHeight="1">
      <c r="N416" s="778"/>
      <c r="O416" s="778"/>
      <c r="P416" s="778"/>
      <c r="Q416" s="778"/>
      <c r="R416" s="778"/>
      <c r="S416" s="778"/>
    </row>
    <row r="417" spans="14:19" ht="27.95" customHeight="1">
      <c r="N417" s="778"/>
      <c r="O417" s="778"/>
      <c r="P417" s="778"/>
      <c r="Q417" s="778"/>
      <c r="R417" s="778"/>
      <c r="S417" s="778"/>
    </row>
    <row r="418" spans="14:19" ht="27.95" customHeight="1">
      <c r="N418" s="778"/>
      <c r="O418" s="778"/>
      <c r="P418" s="778"/>
      <c r="Q418" s="778"/>
      <c r="R418" s="778"/>
      <c r="S418" s="778"/>
    </row>
    <row r="419" spans="14:19" ht="27.95" customHeight="1">
      <c r="N419" s="778"/>
      <c r="O419" s="778"/>
      <c r="P419" s="778"/>
      <c r="Q419" s="778"/>
      <c r="R419" s="778"/>
      <c r="S419" s="778"/>
    </row>
    <row r="420" spans="14:19" ht="27.95" customHeight="1">
      <c r="N420" s="778"/>
      <c r="O420" s="778"/>
      <c r="P420" s="778"/>
      <c r="Q420" s="778"/>
      <c r="R420" s="778"/>
      <c r="S420" s="778"/>
    </row>
    <row r="421" spans="14:19" ht="27.95" customHeight="1">
      <c r="N421" s="778"/>
      <c r="O421" s="778"/>
      <c r="P421" s="778"/>
      <c r="Q421" s="778"/>
      <c r="R421" s="778"/>
      <c r="S421" s="778"/>
    </row>
    <row r="422" spans="14:19" ht="27.95" customHeight="1">
      <c r="N422" s="778"/>
      <c r="O422" s="778"/>
      <c r="P422" s="778"/>
      <c r="Q422" s="778"/>
      <c r="R422" s="778"/>
      <c r="S422" s="778"/>
    </row>
    <row r="423" spans="14:19" ht="27.95" customHeight="1">
      <c r="N423" s="778"/>
      <c r="O423" s="778"/>
      <c r="P423" s="778"/>
      <c r="Q423" s="778"/>
      <c r="R423" s="778"/>
      <c r="S423" s="778"/>
    </row>
    <row r="424" spans="14:19" ht="27.95" customHeight="1">
      <c r="N424" s="778"/>
      <c r="O424" s="778"/>
      <c r="P424" s="778"/>
      <c r="Q424" s="778"/>
      <c r="R424" s="778"/>
      <c r="S424" s="778"/>
    </row>
    <row r="425" spans="14:19" ht="27.95" customHeight="1">
      <c r="N425" s="778"/>
      <c r="O425" s="778"/>
      <c r="P425" s="778"/>
      <c r="Q425" s="778"/>
      <c r="R425" s="778"/>
      <c r="S425" s="778"/>
    </row>
    <row r="426" spans="14:19" ht="27.95" customHeight="1">
      <c r="N426" s="778"/>
      <c r="O426" s="778"/>
      <c r="P426" s="778"/>
      <c r="Q426" s="778"/>
      <c r="R426" s="778"/>
      <c r="S426" s="778"/>
    </row>
    <row r="427" spans="14:19" ht="27.95" customHeight="1">
      <c r="N427" s="778"/>
      <c r="O427" s="778"/>
      <c r="P427" s="778"/>
      <c r="Q427" s="778"/>
      <c r="R427" s="778"/>
      <c r="S427" s="778"/>
    </row>
    <row r="428" spans="14:19" ht="27.95" customHeight="1">
      <c r="N428" s="778"/>
      <c r="O428" s="778"/>
      <c r="P428" s="778"/>
      <c r="Q428" s="778"/>
      <c r="R428" s="778"/>
      <c r="S428" s="778"/>
    </row>
    <row r="429" spans="14:19" ht="27.95" customHeight="1">
      <c r="N429" s="778"/>
      <c r="O429" s="778"/>
      <c r="P429" s="778"/>
      <c r="Q429" s="778"/>
      <c r="R429" s="778"/>
      <c r="S429" s="778"/>
    </row>
    <row r="430" spans="14:19" ht="27.95" customHeight="1">
      <c r="N430" s="778"/>
      <c r="O430" s="778"/>
      <c r="P430" s="778"/>
      <c r="Q430" s="778"/>
      <c r="R430" s="778"/>
      <c r="S430" s="778"/>
    </row>
    <row r="431" spans="14:19" ht="27.95" customHeight="1">
      <c r="N431" s="778"/>
      <c r="O431" s="778"/>
      <c r="P431" s="778"/>
      <c r="Q431" s="778"/>
      <c r="R431" s="778"/>
      <c r="S431" s="778"/>
    </row>
    <row r="432" spans="14:19" ht="27.95" customHeight="1">
      <c r="N432" s="778"/>
      <c r="O432" s="778"/>
      <c r="P432" s="778"/>
      <c r="Q432" s="778"/>
      <c r="R432" s="778"/>
      <c r="S432" s="778"/>
    </row>
    <row r="433" spans="14:19" ht="27.95" customHeight="1">
      <c r="N433" s="778"/>
      <c r="O433" s="778"/>
      <c r="P433" s="778"/>
      <c r="Q433" s="778"/>
      <c r="R433" s="778"/>
      <c r="S433" s="778"/>
    </row>
    <row r="434" spans="14:19" ht="27.95" customHeight="1">
      <c r="N434" s="778"/>
      <c r="O434" s="778"/>
      <c r="P434" s="778"/>
      <c r="Q434" s="778"/>
      <c r="R434" s="778"/>
      <c r="S434" s="778"/>
    </row>
    <row r="435" spans="14:19" ht="27.95" customHeight="1">
      <c r="N435" s="778"/>
      <c r="O435" s="778"/>
      <c r="P435" s="778"/>
      <c r="Q435" s="778"/>
      <c r="R435" s="778"/>
      <c r="S435" s="778"/>
    </row>
    <row r="436" spans="14:19" ht="27.95" customHeight="1">
      <c r="N436" s="778"/>
      <c r="O436" s="778"/>
      <c r="P436" s="778"/>
      <c r="Q436" s="778"/>
      <c r="R436" s="778"/>
      <c r="S436" s="778"/>
    </row>
    <row r="437" spans="14:19" ht="27.95" customHeight="1">
      <c r="N437" s="778"/>
      <c r="O437" s="778"/>
      <c r="P437" s="778"/>
      <c r="Q437" s="778"/>
      <c r="R437" s="778"/>
      <c r="S437" s="778"/>
    </row>
    <row r="438" spans="14:19" ht="27.95" customHeight="1">
      <c r="N438" s="778"/>
      <c r="O438" s="778"/>
      <c r="P438" s="778"/>
      <c r="Q438" s="778"/>
      <c r="R438" s="778"/>
      <c r="S438" s="778"/>
    </row>
    <row r="439" spans="14:19" ht="27.95" customHeight="1">
      <c r="N439" s="778"/>
      <c r="O439" s="778"/>
      <c r="P439" s="778"/>
      <c r="Q439" s="778"/>
      <c r="R439" s="778"/>
      <c r="S439" s="778"/>
    </row>
    <row r="440" spans="14:19" ht="27.95" customHeight="1">
      <c r="N440" s="778"/>
      <c r="O440" s="778"/>
      <c r="P440" s="778"/>
      <c r="Q440" s="778"/>
      <c r="R440" s="778"/>
      <c r="S440" s="778"/>
    </row>
    <row r="441" spans="14:19" ht="27.95" customHeight="1">
      <c r="N441" s="778"/>
      <c r="O441" s="778"/>
      <c r="P441" s="778"/>
      <c r="Q441" s="778"/>
      <c r="R441" s="778"/>
      <c r="S441" s="778"/>
    </row>
    <row r="442" spans="14:19" ht="27.95" customHeight="1">
      <c r="N442" s="778"/>
      <c r="O442" s="778"/>
      <c r="P442" s="778"/>
      <c r="Q442" s="778"/>
      <c r="R442" s="778"/>
      <c r="S442" s="778"/>
    </row>
    <row r="443" spans="14:19" ht="27.95" customHeight="1">
      <c r="N443" s="778"/>
      <c r="O443" s="778"/>
      <c r="P443" s="778"/>
      <c r="Q443" s="778"/>
      <c r="R443" s="778"/>
      <c r="S443" s="778"/>
    </row>
    <row r="444" spans="14:19" ht="27.95" customHeight="1">
      <c r="N444" s="778"/>
      <c r="O444" s="778"/>
      <c r="P444" s="778"/>
      <c r="Q444" s="778"/>
      <c r="R444" s="778"/>
      <c r="S444" s="778"/>
    </row>
    <row r="445" spans="14:19" ht="27.95" customHeight="1">
      <c r="N445" s="778"/>
      <c r="O445" s="778"/>
      <c r="P445" s="778"/>
      <c r="Q445" s="778"/>
      <c r="R445" s="778"/>
      <c r="S445" s="778"/>
    </row>
    <row r="446" spans="14:19" ht="27.95" customHeight="1">
      <c r="N446" s="778"/>
      <c r="O446" s="778"/>
      <c r="P446" s="778"/>
      <c r="Q446" s="778"/>
      <c r="R446" s="778"/>
      <c r="S446" s="778"/>
    </row>
    <row r="447" spans="14:19" ht="27.95" customHeight="1">
      <c r="N447" s="778"/>
      <c r="O447" s="778"/>
      <c r="P447" s="778"/>
      <c r="Q447" s="778"/>
      <c r="R447" s="778"/>
      <c r="S447" s="778"/>
    </row>
    <row r="448" spans="14:19" ht="27.95" customHeight="1">
      <c r="N448" s="778"/>
      <c r="O448" s="778"/>
      <c r="P448" s="778"/>
      <c r="Q448" s="778"/>
      <c r="R448" s="778"/>
      <c r="S448" s="778"/>
    </row>
    <row r="449" spans="14:19" ht="27.95" customHeight="1">
      <c r="N449" s="778"/>
      <c r="O449" s="778"/>
      <c r="P449" s="778"/>
      <c r="Q449" s="778"/>
      <c r="R449" s="778"/>
      <c r="S449" s="778"/>
    </row>
    <row r="450" spans="14:19" ht="27.95" customHeight="1">
      <c r="N450" s="778"/>
      <c r="O450" s="778"/>
      <c r="P450" s="778"/>
      <c r="Q450" s="778"/>
      <c r="R450" s="778"/>
      <c r="S450" s="778"/>
    </row>
    <row r="451" spans="14:19" ht="27.95" customHeight="1">
      <c r="N451" s="778"/>
      <c r="O451" s="778"/>
      <c r="P451" s="778"/>
      <c r="Q451" s="778"/>
      <c r="R451" s="778"/>
      <c r="S451" s="778"/>
    </row>
    <row r="452" spans="14:19" ht="27.95" customHeight="1">
      <c r="N452" s="778"/>
      <c r="O452" s="778"/>
      <c r="P452" s="778"/>
      <c r="Q452" s="778"/>
      <c r="R452" s="778"/>
      <c r="S452" s="778"/>
    </row>
    <row r="453" spans="14:19" ht="27.95" customHeight="1">
      <c r="N453" s="778"/>
      <c r="O453" s="778"/>
      <c r="P453" s="778"/>
      <c r="Q453" s="778"/>
      <c r="R453" s="778"/>
      <c r="S453" s="778"/>
    </row>
    <row r="454" spans="14:19" ht="27.95" customHeight="1">
      <c r="N454" s="778"/>
      <c r="O454" s="778"/>
      <c r="P454" s="778"/>
      <c r="Q454" s="778"/>
      <c r="R454" s="778"/>
      <c r="S454" s="778"/>
    </row>
    <row r="455" spans="14:19" ht="27.95" customHeight="1">
      <c r="N455" s="778"/>
      <c r="O455" s="778"/>
      <c r="P455" s="778"/>
      <c r="Q455" s="778"/>
      <c r="R455" s="778"/>
      <c r="S455" s="778"/>
    </row>
    <row r="456" spans="14:19" ht="27.95" customHeight="1">
      <c r="N456" s="778"/>
      <c r="O456" s="778"/>
      <c r="P456" s="778"/>
      <c r="Q456" s="778"/>
      <c r="R456" s="778"/>
      <c r="S456" s="778"/>
    </row>
    <row r="457" spans="14:19" ht="27.95" customHeight="1">
      <c r="N457" s="778"/>
      <c r="O457" s="778"/>
      <c r="P457" s="778"/>
      <c r="Q457" s="778"/>
      <c r="R457" s="778"/>
      <c r="S457" s="778"/>
    </row>
    <row r="458" spans="14:19" ht="27.95" customHeight="1">
      <c r="N458" s="778"/>
      <c r="O458" s="778"/>
      <c r="P458" s="778"/>
      <c r="Q458" s="778"/>
      <c r="R458" s="778"/>
      <c r="S458" s="778"/>
    </row>
    <row r="459" spans="14:19" ht="27.95" customHeight="1">
      <c r="N459" s="778"/>
      <c r="O459" s="778"/>
      <c r="P459" s="778"/>
      <c r="Q459" s="778"/>
      <c r="R459" s="778"/>
      <c r="S459" s="778"/>
    </row>
    <row r="460" spans="14:19" ht="27.95" customHeight="1">
      <c r="N460" s="778"/>
      <c r="O460" s="778"/>
      <c r="P460" s="778"/>
      <c r="Q460" s="778"/>
      <c r="R460" s="778"/>
      <c r="S460" s="778"/>
    </row>
    <row r="461" spans="14:19" ht="27.95" customHeight="1">
      <c r="N461" s="778"/>
      <c r="O461" s="778"/>
      <c r="P461" s="778"/>
      <c r="Q461" s="778"/>
      <c r="R461" s="778"/>
      <c r="S461" s="778"/>
    </row>
    <row r="462" spans="14:19" ht="27.95" customHeight="1">
      <c r="N462" s="778"/>
      <c r="O462" s="778"/>
      <c r="P462" s="778"/>
      <c r="Q462" s="778"/>
      <c r="R462" s="778"/>
      <c r="S462" s="778"/>
    </row>
    <row r="463" spans="14:19" ht="27.95" customHeight="1">
      <c r="N463" s="778"/>
      <c r="O463" s="778"/>
      <c r="P463" s="778"/>
      <c r="Q463" s="778"/>
      <c r="R463" s="778"/>
      <c r="S463" s="778"/>
    </row>
    <row r="464" spans="14:19" ht="27.95" customHeight="1">
      <c r="N464" s="778"/>
      <c r="O464" s="778"/>
      <c r="P464" s="778"/>
      <c r="Q464" s="778"/>
      <c r="R464" s="778"/>
      <c r="S464" s="778"/>
    </row>
    <row r="465" spans="14:19" ht="27.95" customHeight="1">
      <c r="N465" s="778"/>
      <c r="O465" s="778"/>
      <c r="P465" s="778"/>
      <c r="Q465" s="778"/>
      <c r="R465" s="778"/>
      <c r="S465" s="778"/>
    </row>
    <row r="466" spans="14:19" ht="27.95" customHeight="1">
      <c r="N466" s="778"/>
      <c r="O466" s="778"/>
      <c r="P466" s="778"/>
      <c r="Q466" s="778"/>
      <c r="R466" s="778"/>
      <c r="S466" s="778"/>
    </row>
    <row r="467" spans="14:19" ht="27.95" customHeight="1">
      <c r="N467" s="778"/>
      <c r="O467" s="778"/>
      <c r="P467" s="778"/>
      <c r="Q467" s="778"/>
      <c r="R467" s="778"/>
      <c r="S467" s="778"/>
    </row>
    <row r="468" spans="14:19" ht="27.95" customHeight="1">
      <c r="N468" s="778"/>
      <c r="O468" s="778"/>
      <c r="P468" s="778"/>
      <c r="Q468" s="778"/>
      <c r="R468" s="778"/>
      <c r="S468" s="778"/>
    </row>
    <row r="469" spans="14:19" ht="27.95" customHeight="1">
      <c r="N469" s="778"/>
      <c r="O469" s="778"/>
      <c r="P469" s="778"/>
      <c r="Q469" s="778"/>
      <c r="R469" s="778"/>
      <c r="S469" s="778"/>
    </row>
    <row r="470" spans="14:19" ht="27.95" customHeight="1">
      <c r="N470" s="778"/>
      <c r="O470" s="778"/>
      <c r="P470" s="778"/>
      <c r="Q470" s="778"/>
      <c r="R470" s="778"/>
      <c r="S470" s="778"/>
    </row>
    <row r="471" spans="14:19" ht="27.95" customHeight="1">
      <c r="N471" s="778"/>
      <c r="O471" s="778"/>
      <c r="P471" s="778"/>
      <c r="Q471" s="778"/>
      <c r="R471" s="778"/>
      <c r="S471" s="778"/>
    </row>
    <row r="472" spans="14:19" ht="27.95" customHeight="1">
      <c r="N472" s="778"/>
      <c r="O472" s="778"/>
      <c r="P472" s="778"/>
      <c r="Q472" s="778"/>
      <c r="R472" s="778"/>
      <c r="S472" s="778"/>
    </row>
    <row r="473" spans="14:19" ht="27.95" customHeight="1">
      <c r="N473" s="778"/>
      <c r="O473" s="778"/>
      <c r="P473" s="778"/>
      <c r="Q473" s="778"/>
      <c r="R473" s="778"/>
      <c r="S473" s="778"/>
    </row>
    <row r="474" spans="14:19" ht="27.95" customHeight="1">
      <c r="N474" s="778"/>
      <c r="O474" s="778"/>
      <c r="P474" s="778"/>
      <c r="Q474" s="778"/>
      <c r="R474" s="778"/>
      <c r="S474" s="778"/>
    </row>
    <row r="475" spans="14:19" ht="27.95" customHeight="1">
      <c r="N475" s="778"/>
      <c r="O475" s="778"/>
      <c r="P475" s="778"/>
      <c r="Q475" s="778"/>
      <c r="R475" s="778"/>
      <c r="S475" s="778"/>
    </row>
    <row r="476" spans="14:19" ht="27.95" customHeight="1">
      <c r="N476" s="778"/>
      <c r="O476" s="778"/>
      <c r="P476" s="778"/>
      <c r="Q476" s="778"/>
      <c r="R476" s="778"/>
      <c r="S476" s="778"/>
    </row>
    <row r="477" spans="14:19" ht="27.95" customHeight="1">
      <c r="N477" s="778"/>
      <c r="O477" s="778"/>
      <c r="P477" s="778"/>
      <c r="Q477" s="778"/>
      <c r="R477" s="778"/>
      <c r="S477" s="778"/>
    </row>
    <row r="478" spans="14:19" ht="27.95" customHeight="1">
      <c r="N478" s="778"/>
      <c r="O478" s="778"/>
      <c r="P478" s="778"/>
      <c r="Q478" s="778"/>
      <c r="R478" s="778"/>
      <c r="S478" s="778"/>
    </row>
    <row r="479" spans="14:19" ht="27.95" customHeight="1">
      <c r="N479" s="778"/>
      <c r="O479" s="778"/>
      <c r="P479" s="778"/>
      <c r="Q479" s="778"/>
      <c r="R479" s="778"/>
      <c r="S479" s="778"/>
    </row>
    <row r="480" spans="14:19" ht="27.95" customHeight="1">
      <c r="N480" s="778"/>
      <c r="O480" s="778"/>
      <c r="P480" s="778"/>
      <c r="Q480" s="778"/>
      <c r="R480" s="778"/>
      <c r="S480" s="778"/>
    </row>
    <row r="481" spans="14:19" ht="27.95" customHeight="1">
      <c r="N481" s="778"/>
      <c r="O481" s="778"/>
      <c r="P481" s="778"/>
      <c r="Q481" s="778"/>
      <c r="R481" s="778"/>
      <c r="S481" s="778"/>
    </row>
    <row r="482" spans="14:19" ht="27.95" customHeight="1">
      <c r="N482" s="778"/>
      <c r="O482" s="778"/>
      <c r="P482" s="778"/>
      <c r="Q482" s="778"/>
      <c r="R482" s="778"/>
      <c r="S482" s="778"/>
    </row>
    <row r="483" spans="14:19" ht="27.95" customHeight="1">
      <c r="N483" s="778"/>
      <c r="O483" s="778"/>
      <c r="P483" s="778"/>
      <c r="Q483" s="778"/>
      <c r="R483" s="778"/>
      <c r="S483" s="778"/>
    </row>
    <row r="484" spans="14:19" ht="27.95" customHeight="1">
      <c r="N484" s="778"/>
      <c r="O484" s="778"/>
      <c r="P484" s="778"/>
      <c r="Q484" s="778"/>
      <c r="R484" s="778"/>
      <c r="S484" s="778"/>
    </row>
    <row r="485" spans="14:19" ht="27.95" customHeight="1">
      <c r="N485" s="778"/>
      <c r="O485" s="778"/>
      <c r="P485" s="778"/>
      <c r="Q485" s="778"/>
      <c r="R485" s="778"/>
      <c r="S485" s="778"/>
    </row>
    <row r="486" spans="14:19" ht="27.95" customHeight="1">
      <c r="N486" s="778"/>
      <c r="O486" s="778"/>
      <c r="P486" s="778"/>
      <c r="Q486" s="778"/>
      <c r="R486" s="778"/>
      <c r="S486" s="778"/>
    </row>
    <row r="487" spans="14:19" ht="27.95" customHeight="1">
      <c r="N487" s="778"/>
      <c r="O487" s="778"/>
      <c r="P487" s="778"/>
      <c r="Q487" s="778"/>
      <c r="R487" s="778"/>
      <c r="S487" s="778"/>
    </row>
    <row r="488" spans="14:19" ht="27.95" customHeight="1">
      <c r="N488" s="778"/>
      <c r="O488" s="778"/>
      <c r="P488" s="778"/>
      <c r="Q488" s="778"/>
      <c r="R488" s="778"/>
      <c r="S488" s="778"/>
    </row>
    <row r="489" spans="14:19" ht="27.95" customHeight="1">
      <c r="N489" s="778"/>
      <c r="O489" s="778"/>
      <c r="P489" s="778"/>
      <c r="Q489" s="778"/>
      <c r="R489" s="778"/>
      <c r="S489" s="778"/>
    </row>
    <row r="490" spans="14:19" ht="27.95" customHeight="1">
      <c r="N490" s="778"/>
      <c r="O490" s="778"/>
      <c r="P490" s="778"/>
      <c r="Q490" s="778"/>
      <c r="R490" s="778"/>
      <c r="S490" s="778"/>
    </row>
    <row r="491" spans="14:19" ht="27.95" customHeight="1">
      <c r="N491" s="778"/>
      <c r="O491" s="778"/>
      <c r="P491" s="778"/>
      <c r="Q491" s="778"/>
      <c r="R491" s="778"/>
      <c r="S491" s="778"/>
    </row>
    <row r="492" spans="14:19" ht="27.95" customHeight="1">
      <c r="N492" s="778"/>
      <c r="O492" s="778"/>
      <c r="P492" s="778"/>
      <c r="Q492" s="778"/>
      <c r="R492" s="778"/>
      <c r="S492" s="778"/>
    </row>
    <row r="493" spans="14:19" ht="27.95" customHeight="1">
      <c r="N493" s="778"/>
      <c r="O493" s="778"/>
      <c r="P493" s="778"/>
      <c r="Q493" s="778"/>
      <c r="R493" s="778"/>
      <c r="S493" s="778"/>
    </row>
    <row r="494" spans="14:19" ht="27.95" customHeight="1">
      <c r="N494" s="778"/>
      <c r="O494" s="778"/>
      <c r="P494" s="778"/>
      <c r="Q494" s="778"/>
      <c r="R494" s="778"/>
      <c r="S494" s="778"/>
    </row>
    <row r="495" spans="14:19" ht="27.95" customHeight="1">
      <c r="N495" s="778"/>
      <c r="O495" s="778"/>
      <c r="P495" s="778"/>
      <c r="Q495" s="778"/>
      <c r="R495" s="778"/>
      <c r="S495" s="778"/>
    </row>
    <row r="496" spans="14:19" ht="27.95" customHeight="1">
      <c r="N496" s="778"/>
      <c r="O496" s="778"/>
      <c r="P496" s="778"/>
      <c r="Q496" s="778"/>
      <c r="R496" s="778"/>
      <c r="S496" s="778"/>
    </row>
    <row r="497" spans="14:19" ht="27.95" customHeight="1">
      <c r="N497" s="778"/>
      <c r="O497" s="778"/>
      <c r="P497" s="778"/>
      <c r="Q497" s="778"/>
      <c r="R497" s="778"/>
      <c r="S497" s="778"/>
    </row>
    <row r="498" spans="14:19" ht="27.95" customHeight="1">
      <c r="N498" s="778"/>
      <c r="O498" s="778"/>
      <c r="P498" s="778"/>
      <c r="Q498" s="778"/>
      <c r="R498" s="778"/>
      <c r="S498" s="778"/>
    </row>
    <row r="499" spans="14:19" ht="27.95" customHeight="1">
      <c r="N499" s="778"/>
      <c r="O499" s="778"/>
      <c r="P499" s="778"/>
      <c r="Q499" s="778"/>
      <c r="R499" s="778"/>
      <c r="S499" s="778"/>
    </row>
    <row r="500" spans="14:19" ht="27.95" customHeight="1">
      <c r="N500" s="778"/>
      <c r="O500" s="778"/>
      <c r="P500" s="778"/>
      <c r="Q500" s="778"/>
      <c r="R500" s="778"/>
      <c r="S500" s="778"/>
    </row>
    <row r="501" spans="14:19" ht="27.95" customHeight="1">
      <c r="N501" s="778"/>
      <c r="O501" s="778"/>
      <c r="P501" s="778"/>
      <c r="Q501" s="778"/>
      <c r="R501" s="778"/>
      <c r="S501" s="778"/>
    </row>
    <row r="502" spans="14:19" ht="27.95" customHeight="1">
      <c r="N502" s="778"/>
      <c r="O502" s="778"/>
      <c r="P502" s="778"/>
      <c r="Q502" s="778"/>
      <c r="R502" s="778"/>
      <c r="S502" s="778"/>
    </row>
    <row r="503" spans="14:19" ht="27.95" customHeight="1">
      <c r="N503" s="778"/>
      <c r="O503" s="778"/>
      <c r="P503" s="778"/>
      <c r="Q503" s="778"/>
      <c r="R503" s="778"/>
      <c r="S503" s="778"/>
    </row>
    <row r="504" spans="14:19" ht="27.95" customHeight="1">
      <c r="N504" s="778"/>
      <c r="O504" s="778"/>
      <c r="P504" s="778"/>
      <c r="Q504" s="778"/>
      <c r="R504" s="778"/>
      <c r="S504" s="778"/>
    </row>
    <row r="505" spans="14:19" ht="27.95" customHeight="1">
      <c r="N505" s="778"/>
      <c r="O505" s="778"/>
      <c r="P505" s="778"/>
      <c r="Q505" s="778"/>
      <c r="R505" s="778"/>
      <c r="S505" s="778"/>
    </row>
    <row r="506" spans="14:19" ht="27.95" customHeight="1">
      <c r="N506" s="778"/>
      <c r="O506" s="778"/>
      <c r="P506" s="778"/>
      <c r="Q506" s="778"/>
      <c r="R506" s="778"/>
      <c r="S506" s="778"/>
    </row>
    <row r="507" spans="14:19" ht="27.95" customHeight="1">
      <c r="N507" s="778"/>
      <c r="O507" s="778"/>
      <c r="P507" s="778"/>
      <c r="Q507" s="778"/>
      <c r="R507" s="778"/>
      <c r="S507" s="778"/>
    </row>
    <row r="508" spans="14:19" ht="27.95" customHeight="1">
      <c r="N508" s="778"/>
      <c r="O508" s="778"/>
      <c r="P508" s="778"/>
      <c r="Q508" s="778"/>
      <c r="R508" s="778"/>
      <c r="S508" s="778"/>
    </row>
    <row r="509" spans="14:19" ht="27.95" customHeight="1">
      <c r="N509" s="778"/>
      <c r="O509" s="778"/>
      <c r="P509" s="778"/>
      <c r="Q509" s="778"/>
      <c r="R509" s="778"/>
      <c r="S509" s="778"/>
    </row>
    <row r="510" spans="14:19" ht="27.95" customHeight="1">
      <c r="N510" s="778"/>
      <c r="O510" s="778"/>
      <c r="P510" s="778"/>
      <c r="Q510" s="778"/>
      <c r="R510" s="778"/>
      <c r="S510" s="778"/>
    </row>
    <row r="511" spans="14:19" ht="27.95" customHeight="1">
      <c r="N511" s="778"/>
      <c r="O511" s="778"/>
      <c r="P511" s="778"/>
      <c r="Q511" s="778"/>
      <c r="R511" s="778"/>
      <c r="S511" s="778"/>
    </row>
    <row r="512" spans="14:19" ht="27.95" customHeight="1">
      <c r="N512" s="778"/>
      <c r="O512" s="778"/>
      <c r="P512" s="778"/>
      <c r="Q512" s="778"/>
      <c r="R512" s="778"/>
      <c r="S512" s="778"/>
    </row>
    <row r="513" spans="14:19" ht="27.95" customHeight="1">
      <c r="N513" s="778"/>
      <c r="O513" s="778"/>
      <c r="P513" s="778"/>
      <c r="Q513" s="778"/>
      <c r="R513" s="778"/>
      <c r="S513" s="778"/>
    </row>
    <row r="514" spans="14:19" ht="27.95" customHeight="1">
      <c r="N514" s="778"/>
      <c r="O514" s="778"/>
      <c r="P514" s="778"/>
      <c r="Q514" s="778"/>
      <c r="R514" s="778"/>
      <c r="S514" s="778"/>
    </row>
    <row r="515" spans="14:19" ht="27.95" customHeight="1">
      <c r="N515" s="778"/>
      <c r="O515" s="778"/>
      <c r="P515" s="778"/>
      <c r="Q515" s="778"/>
      <c r="R515" s="778"/>
      <c r="S515" s="778"/>
    </row>
    <row r="516" spans="14:19" ht="27.95" customHeight="1">
      <c r="N516" s="778"/>
      <c r="O516" s="778"/>
      <c r="P516" s="778"/>
      <c r="Q516" s="778"/>
      <c r="R516" s="778"/>
      <c r="S516" s="778"/>
    </row>
    <row r="517" spans="14:19" ht="27.95" customHeight="1">
      <c r="N517" s="778"/>
      <c r="O517" s="778"/>
      <c r="P517" s="778"/>
      <c r="Q517" s="778"/>
      <c r="R517" s="778"/>
      <c r="S517" s="778"/>
    </row>
    <row r="518" spans="14:19" ht="27.95" customHeight="1">
      <c r="N518" s="778"/>
      <c r="O518" s="778"/>
      <c r="P518" s="778"/>
      <c r="Q518" s="778"/>
      <c r="R518" s="778"/>
      <c r="S518" s="778"/>
    </row>
    <row r="519" spans="14:19" ht="27.95" customHeight="1">
      <c r="N519" s="778"/>
      <c r="O519" s="778"/>
      <c r="P519" s="778"/>
      <c r="Q519" s="778"/>
      <c r="R519" s="778"/>
      <c r="S519" s="778"/>
    </row>
    <row r="520" spans="14:19" ht="27.95" customHeight="1">
      <c r="N520" s="778"/>
      <c r="O520" s="778"/>
      <c r="P520" s="778"/>
      <c r="Q520" s="778"/>
      <c r="R520" s="778"/>
      <c r="S520" s="778"/>
    </row>
    <row r="521" spans="14:19" ht="27.95" customHeight="1">
      <c r="N521" s="778"/>
      <c r="O521" s="778"/>
      <c r="P521" s="778"/>
      <c r="Q521" s="778"/>
      <c r="R521" s="778"/>
      <c r="S521" s="778"/>
    </row>
    <row r="522" spans="14:19" ht="27.95" customHeight="1">
      <c r="N522" s="778"/>
      <c r="O522" s="778"/>
      <c r="P522" s="778"/>
      <c r="Q522" s="778"/>
      <c r="R522" s="778"/>
      <c r="S522" s="778"/>
    </row>
    <row r="523" spans="14:19" ht="27.95" customHeight="1">
      <c r="N523" s="778"/>
      <c r="O523" s="778"/>
      <c r="P523" s="778"/>
      <c r="Q523" s="778"/>
      <c r="R523" s="778"/>
      <c r="S523" s="778"/>
    </row>
    <row r="524" spans="14:19" ht="27.95" customHeight="1">
      <c r="N524" s="778"/>
      <c r="O524" s="778"/>
      <c r="P524" s="778"/>
      <c r="Q524" s="778"/>
      <c r="R524" s="778"/>
      <c r="S524" s="778"/>
    </row>
    <row r="525" spans="14:19" ht="27.95" customHeight="1">
      <c r="N525" s="778"/>
      <c r="O525" s="778"/>
      <c r="P525" s="778"/>
      <c r="Q525" s="778"/>
      <c r="R525" s="778"/>
      <c r="S525" s="778"/>
    </row>
    <row r="526" spans="14:19" ht="27.95" customHeight="1">
      <c r="N526" s="778"/>
      <c r="O526" s="778"/>
      <c r="P526" s="778"/>
      <c r="Q526" s="778"/>
      <c r="R526" s="778"/>
      <c r="S526" s="778"/>
    </row>
    <row r="527" spans="14:19" ht="27.95" customHeight="1">
      <c r="N527" s="778"/>
      <c r="O527" s="778"/>
      <c r="P527" s="778"/>
      <c r="Q527" s="778"/>
      <c r="R527" s="778"/>
      <c r="S527" s="778"/>
    </row>
    <row r="528" spans="14:19" ht="27.95" customHeight="1">
      <c r="N528" s="778"/>
      <c r="O528" s="778"/>
      <c r="P528" s="778"/>
      <c r="Q528" s="778"/>
      <c r="R528" s="778"/>
      <c r="S528" s="778"/>
    </row>
    <row r="529" spans="14:19" ht="27.95" customHeight="1">
      <c r="N529" s="778"/>
      <c r="O529" s="778"/>
      <c r="P529" s="778"/>
      <c r="Q529" s="778"/>
      <c r="R529" s="778"/>
      <c r="S529" s="778"/>
    </row>
    <row r="530" spans="14:19" ht="27.95" customHeight="1">
      <c r="N530" s="778"/>
      <c r="O530" s="778"/>
      <c r="P530" s="778"/>
      <c r="Q530" s="778"/>
      <c r="R530" s="778"/>
      <c r="S530" s="778"/>
    </row>
    <row r="531" spans="14:19" ht="27.95" customHeight="1">
      <c r="N531" s="778"/>
      <c r="O531" s="778"/>
      <c r="P531" s="778"/>
      <c r="Q531" s="778"/>
      <c r="R531" s="778"/>
      <c r="S531" s="778"/>
    </row>
    <row r="532" spans="14:19" ht="27.95" customHeight="1">
      <c r="N532" s="778"/>
      <c r="O532" s="778"/>
      <c r="P532" s="778"/>
      <c r="Q532" s="778"/>
      <c r="R532" s="778"/>
      <c r="S532" s="778"/>
    </row>
    <row r="533" spans="14:19" ht="27.95" customHeight="1">
      <c r="N533" s="778"/>
      <c r="O533" s="778"/>
      <c r="P533" s="778"/>
      <c r="Q533" s="778"/>
      <c r="R533" s="778"/>
      <c r="S533" s="778"/>
    </row>
    <row r="534" spans="14:19" ht="27.95" customHeight="1">
      <c r="N534" s="778"/>
      <c r="O534" s="778"/>
      <c r="P534" s="778"/>
      <c r="Q534" s="778"/>
      <c r="R534" s="778"/>
      <c r="S534" s="778"/>
    </row>
    <row r="535" spans="14:19" ht="27.95" customHeight="1">
      <c r="N535" s="778"/>
      <c r="O535" s="778"/>
      <c r="P535" s="778"/>
      <c r="Q535" s="778"/>
      <c r="R535" s="778"/>
      <c r="S535" s="778"/>
    </row>
    <row r="536" spans="14:19" ht="27.95" customHeight="1">
      <c r="N536" s="778"/>
      <c r="O536" s="778"/>
      <c r="P536" s="778"/>
      <c r="Q536" s="778"/>
      <c r="R536" s="778"/>
      <c r="S536" s="778"/>
    </row>
    <row r="537" spans="14:19" ht="27.95" customHeight="1">
      <c r="N537" s="778"/>
      <c r="O537" s="778"/>
      <c r="P537" s="778"/>
      <c r="Q537" s="778"/>
      <c r="R537" s="778"/>
      <c r="S537" s="778"/>
    </row>
    <row r="538" spans="14:19" ht="27.95" customHeight="1">
      <c r="N538" s="778"/>
      <c r="O538" s="778"/>
      <c r="P538" s="778"/>
      <c r="Q538" s="778"/>
      <c r="R538" s="778"/>
      <c r="S538" s="778"/>
    </row>
    <row r="539" spans="14:19" ht="27.95" customHeight="1">
      <c r="N539" s="778"/>
      <c r="O539" s="778"/>
      <c r="P539" s="778"/>
      <c r="Q539" s="778"/>
      <c r="R539" s="778"/>
      <c r="S539" s="778"/>
    </row>
    <row r="540" spans="14:19" ht="27.95" customHeight="1">
      <c r="N540" s="778"/>
      <c r="O540" s="778"/>
      <c r="P540" s="778"/>
      <c r="Q540" s="778"/>
      <c r="R540" s="778"/>
      <c r="S540" s="778"/>
    </row>
    <row r="541" spans="14:19" ht="27.95" customHeight="1">
      <c r="N541" s="778"/>
      <c r="O541" s="778"/>
      <c r="P541" s="778"/>
      <c r="Q541" s="778"/>
      <c r="R541" s="778"/>
      <c r="S541" s="778"/>
    </row>
    <row r="542" spans="14:19" ht="27.95" customHeight="1">
      <c r="N542" s="778"/>
      <c r="O542" s="778"/>
      <c r="P542" s="778"/>
      <c r="Q542" s="778"/>
      <c r="R542" s="778"/>
      <c r="S542" s="778"/>
    </row>
    <row r="543" spans="14:19" ht="27.95" customHeight="1">
      <c r="N543" s="778"/>
      <c r="O543" s="778"/>
      <c r="P543" s="778"/>
      <c r="Q543" s="778"/>
      <c r="R543" s="778"/>
      <c r="S543" s="778"/>
    </row>
    <row r="544" spans="14:19" ht="27.95" customHeight="1">
      <c r="N544" s="778"/>
      <c r="O544" s="778"/>
      <c r="P544" s="778"/>
      <c r="Q544" s="778"/>
      <c r="R544" s="778"/>
      <c r="S544" s="778"/>
    </row>
    <row r="545" spans="14:19" ht="27.95" customHeight="1">
      <c r="N545" s="778"/>
      <c r="O545" s="778"/>
      <c r="P545" s="778"/>
      <c r="Q545" s="778"/>
      <c r="R545" s="778"/>
      <c r="S545" s="778"/>
    </row>
    <row r="546" spans="14:19" ht="27.95" customHeight="1">
      <c r="N546" s="778"/>
      <c r="O546" s="778"/>
      <c r="P546" s="778"/>
      <c r="Q546" s="778"/>
      <c r="R546" s="778"/>
      <c r="S546" s="778"/>
    </row>
    <row r="547" spans="14:19" ht="27.95" customHeight="1">
      <c r="N547" s="778"/>
      <c r="O547" s="778"/>
      <c r="P547" s="778"/>
      <c r="Q547" s="778"/>
      <c r="R547" s="778"/>
      <c r="S547" s="778"/>
    </row>
    <row r="548" spans="14:19" ht="27.95" customHeight="1">
      <c r="N548" s="778"/>
      <c r="O548" s="778"/>
      <c r="P548" s="778"/>
      <c r="Q548" s="778"/>
      <c r="R548" s="778"/>
      <c r="S548" s="778"/>
    </row>
    <row r="549" spans="14:19" ht="27.95" customHeight="1">
      <c r="N549" s="778"/>
      <c r="O549" s="778"/>
      <c r="P549" s="778"/>
      <c r="Q549" s="778"/>
      <c r="R549" s="778"/>
      <c r="S549" s="778"/>
    </row>
    <row r="550" spans="14:19" ht="27.95" customHeight="1">
      <c r="N550" s="778"/>
      <c r="O550" s="778"/>
      <c r="P550" s="778"/>
      <c r="Q550" s="778"/>
      <c r="R550" s="778"/>
      <c r="S550" s="778"/>
    </row>
    <row r="551" spans="14:19" ht="27.95" customHeight="1">
      <c r="N551" s="778"/>
      <c r="O551" s="778"/>
      <c r="P551" s="778"/>
      <c r="Q551" s="778"/>
      <c r="R551" s="778"/>
      <c r="S551" s="778"/>
    </row>
    <row r="552" spans="14:19" ht="27.95" customHeight="1">
      <c r="N552" s="778"/>
      <c r="O552" s="778"/>
      <c r="P552" s="778"/>
      <c r="Q552" s="778"/>
      <c r="R552" s="778"/>
      <c r="S552" s="778"/>
    </row>
    <row r="553" spans="14:19" ht="27.95" customHeight="1">
      <c r="N553" s="778"/>
      <c r="O553" s="778"/>
      <c r="P553" s="778"/>
      <c r="Q553" s="778"/>
      <c r="R553" s="778"/>
      <c r="S553" s="778"/>
    </row>
    <row r="554" spans="14:19" ht="27.95" customHeight="1">
      <c r="N554" s="778"/>
      <c r="O554" s="778"/>
      <c r="P554" s="778"/>
      <c r="Q554" s="778"/>
      <c r="R554" s="778"/>
      <c r="S554" s="778"/>
    </row>
    <row r="555" spans="14:19" ht="27.95" customHeight="1">
      <c r="N555" s="778"/>
      <c r="O555" s="778"/>
      <c r="P555" s="778"/>
      <c r="Q555" s="778"/>
      <c r="R555" s="778"/>
      <c r="S555" s="778"/>
    </row>
    <row r="556" spans="14:19" ht="27.95" customHeight="1">
      <c r="N556" s="778"/>
      <c r="O556" s="778"/>
      <c r="P556" s="778"/>
      <c r="Q556" s="778"/>
      <c r="R556" s="778"/>
      <c r="S556" s="778"/>
    </row>
    <row r="557" spans="14:19" ht="27.95" customHeight="1">
      <c r="N557" s="778"/>
      <c r="O557" s="778"/>
      <c r="P557" s="778"/>
      <c r="Q557" s="778"/>
      <c r="R557" s="778"/>
      <c r="S557" s="778"/>
    </row>
    <row r="558" spans="14:19" ht="27.95" customHeight="1">
      <c r="N558" s="778"/>
      <c r="O558" s="778"/>
      <c r="P558" s="778"/>
      <c r="Q558" s="778"/>
      <c r="R558" s="778"/>
      <c r="S558" s="778"/>
    </row>
    <row r="559" spans="14:19" ht="27.95" customHeight="1">
      <c r="N559" s="778"/>
      <c r="O559" s="778"/>
      <c r="P559" s="778"/>
      <c r="Q559" s="778"/>
      <c r="R559" s="778"/>
      <c r="S559" s="778"/>
    </row>
    <row r="560" spans="14:19" ht="27.95" customHeight="1">
      <c r="N560" s="778"/>
      <c r="O560" s="778"/>
      <c r="P560" s="778"/>
      <c r="Q560" s="778"/>
      <c r="R560" s="778"/>
      <c r="S560" s="778"/>
    </row>
    <row r="561" spans="14:19" ht="27.95" customHeight="1">
      <c r="N561" s="778"/>
      <c r="O561" s="778"/>
      <c r="P561" s="778"/>
      <c r="Q561" s="778"/>
      <c r="R561" s="778"/>
      <c r="S561" s="778"/>
    </row>
    <row r="562" spans="14:19" ht="27.95" customHeight="1">
      <c r="N562" s="778"/>
      <c r="O562" s="778"/>
      <c r="P562" s="778"/>
      <c r="Q562" s="778"/>
      <c r="R562" s="778"/>
      <c r="S562" s="778"/>
    </row>
    <row r="563" spans="14:19" ht="27.95" customHeight="1">
      <c r="N563" s="778"/>
      <c r="O563" s="778"/>
      <c r="P563" s="778"/>
      <c r="Q563" s="778"/>
      <c r="R563" s="778"/>
      <c r="S563" s="778"/>
    </row>
    <row r="564" spans="14:19" ht="27.95" customHeight="1">
      <c r="N564" s="778"/>
      <c r="O564" s="778"/>
      <c r="P564" s="778"/>
      <c r="Q564" s="778"/>
      <c r="R564" s="778"/>
      <c r="S564" s="778"/>
    </row>
    <row r="565" spans="14:19" ht="27.95" customHeight="1">
      <c r="N565" s="778"/>
      <c r="O565" s="778"/>
      <c r="P565" s="778"/>
      <c r="Q565" s="778"/>
      <c r="R565" s="778"/>
      <c r="S565" s="778"/>
    </row>
    <row r="566" spans="14:19" ht="27.95" customHeight="1">
      <c r="N566" s="778"/>
      <c r="O566" s="778"/>
      <c r="P566" s="778"/>
      <c r="Q566" s="778"/>
      <c r="R566" s="778"/>
      <c r="S566" s="778"/>
    </row>
    <row r="567" spans="14:19" ht="27.95" customHeight="1">
      <c r="N567" s="778"/>
      <c r="O567" s="778"/>
      <c r="P567" s="778"/>
      <c r="Q567" s="778"/>
      <c r="R567" s="778"/>
      <c r="S567" s="778"/>
    </row>
    <row r="568" spans="14:19" ht="27.95" customHeight="1">
      <c r="N568" s="778"/>
      <c r="O568" s="778"/>
      <c r="P568" s="778"/>
      <c r="Q568" s="778"/>
      <c r="R568" s="778"/>
      <c r="S568" s="778"/>
    </row>
    <row r="569" spans="14:19" ht="27.95" customHeight="1">
      <c r="N569" s="778"/>
      <c r="O569" s="778"/>
      <c r="P569" s="778"/>
      <c r="Q569" s="778"/>
      <c r="R569" s="778"/>
      <c r="S569" s="778"/>
    </row>
    <row r="570" spans="14:19" ht="27.95" customHeight="1">
      <c r="N570" s="778"/>
      <c r="O570" s="778"/>
      <c r="P570" s="778"/>
      <c r="Q570" s="778"/>
      <c r="R570" s="778"/>
      <c r="S570" s="778"/>
    </row>
    <row r="571" spans="14:19" ht="27.95" customHeight="1">
      <c r="N571" s="778"/>
      <c r="O571" s="778"/>
      <c r="P571" s="778"/>
      <c r="Q571" s="778"/>
      <c r="R571" s="778"/>
      <c r="S571" s="778"/>
    </row>
    <row r="572" spans="14:19" ht="27.95" customHeight="1">
      <c r="N572" s="778"/>
      <c r="O572" s="778"/>
      <c r="P572" s="778"/>
      <c r="Q572" s="778"/>
      <c r="R572" s="778"/>
      <c r="S572" s="778"/>
    </row>
    <row r="573" spans="14:19" ht="27.95" customHeight="1">
      <c r="N573" s="778"/>
      <c r="O573" s="778"/>
      <c r="P573" s="778"/>
      <c r="Q573" s="778"/>
      <c r="R573" s="778"/>
      <c r="S573" s="778"/>
    </row>
    <row r="574" spans="14:19" ht="27.95" customHeight="1">
      <c r="N574" s="778"/>
      <c r="O574" s="778"/>
      <c r="P574" s="778"/>
      <c r="Q574" s="778"/>
      <c r="R574" s="778"/>
      <c r="S574" s="778"/>
    </row>
    <row r="575" spans="14:19" ht="27.95" customHeight="1">
      <c r="N575" s="778"/>
      <c r="O575" s="778"/>
      <c r="P575" s="778"/>
      <c r="Q575" s="778"/>
      <c r="R575" s="778"/>
      <c r="S575" s="778"/>
    </row>
    <row r="576" spans="14:19" ht="27.95" customHeight="1">
      <c r="N576" s="778"/>
      <c r="O576" s="778"/>
      <c r="P576" s="778"/>
      <c r="Q576" s="778"/>
      <c r="R576" s="778"/>
      <c r="S576" s="778"/>
    </row>
    <row r="577" spans="14:19" ht="27.95" customHeight="1">
      <c r="N577" s="778"/>
      <c r="O577" s="778"/>
      <c r="P577" s="778"/>
      <c r="Q577" s="778"/>
      <c r="R577" s="778"/>
      <c r="S577" s="778"/>
    </row>
    <row r="578" spans="14:19" ht="27.95" customHeight="1">
      <c r="N578" s="778"/>
      <c r="O578" s="778"/>
      <c r="P578" s="778"/>
      <c r="Q578" s="778"/>
      <c r="R578" s="778"/>
      <c r="S578" s="778"/>
    </row>
    <row r="579" spans="14:19" ht="27.95" customHeight="1">
      <c r="N579" s="778"/>
      <c r="O579" s="778"/>
      <c r="P579" s="778"/>
      <c r="Q579" s="778"/>
      <c r="R579" s="778"/>
      <c r="S579" s="778"/>
    </row>
    <row r="580" spans="14:19" ht="27.95" customHeight="1">
      <c r="N580" s="778"/>
      <c r="O580" s="778"/>
      <c r="P580" s="778"/>
      <c r="Q580" s="778"/>
      <c r="R580" s="778"/>
      <c r="S580" s="778"/>
    </row>
    <row r="581" spans="14:19" ht="27.95" customHeight="1">
      <c r="N581" s="778"/>
      <c r="O581" s="778"/>
      <c r="P581" s="778"/>
      <c r="Q581" s="778"/>
      <c r="R581" s="778"/>
      <c r="S581" s="778"/>
    </row>
    <row r="582" spans="14:19" ht="27.95" customHeight="1">
      <c r="N582" s="778"/>
      <c r="O582" s="778"/>
      <c r="P582" s="778"/>
      <c r="Q582" s="778"/>
      <c r="R582" s="778"/>
      <c r="S582" s="778"/>
    </row>
    <row r="583" spans="14:19" ht="27.95" customHeight="1">
      <c r="N583" s="778"/>
      <c r="O583" s="778"/>
      <c r="P583" s="778"/>
      <c r="Q583" s="778"/>
      <c r="R583" s="778"/>
      <c r="S583" s="778"/>
    </row>
    <row r="584" spans="14:19" ht="27.95" customHeight="1">
      <c r="N584" s="778"/>
      <c r="O584" s="778"/>
      <c r="P584" s="778"/>
      <c r="Q584" s="778"/>
      <c r="R584" s="778"/>
      <c r="S584" s="778"/>
    </row>
    <row r="585" spans="14:19" ht="27.95" customHeight="1">
      <c r="N585" s="778"/>
      <c r="O585" s="778"/>
      <c r="P585" s="778"/>
      <c r="Q585" s="778"/>
      <c r="R585" s="778"/>
      <c r="S585" s="778"/>
    </row>
    <row r="586" spans="14:19" ht="27.95" customHeight="1">
      <c r="N586" s="778"/>
      <c r="O586" s="778"/>
      <c r="P586" s="778"/>
      <c r="Q586" s="778"/>
      <c r="R586" s="778"/>
      <c r="S586" s="778"/>
    </row>
    <row r="587" spans="14:19" ht="27.95" customHeight="1">
      <c r="N587" s="778"/>
      <c r="O587" s="778"/>
      <c r="P587" s="778"/>
      <c r="Q587" s="778"/>
      <c r="R587" s="778"/>
      <c r="S587" s="778"/>
    </row>
    <row r="588" spans="14:19" ht="27.95" customHeight="1">
      <c r="N588" s="778"/>
      <c r="O588" s="778"/>
      <c r="P588" s="778"/>
      <c r="Q588" s="778"/>
      <c r="R588" s="778"/>
      <c r="S588" s="778"/>
    </row>
    <row r="589" spans="14:19" ht="27.95" customHeight="1">
      <c r="N589" s="778"/>
      <c r="O589" s="778"/>
      <c r="P589" s="778"/>
      <c r="Q589" s="778"/>
      <c r="R589" s="778"/>
      <c r="S589" s="778"/>
    </row>
    <row r="590" spans="14:19" ht="27.95" customHeight="1">
      <c r="N590" s="778"/>
      <c r="O590" s="778"/>
      <c r="P590" s="778"/>
      <c r="Q590" s="778"/>
      <c r="R590" s="778"/>
      <c r="S590" s="778"/>
    </row>
    <row r="591" spans="14:19" ht="27.95" customHeight="1">
      <c r="N591" s="778"/>
      <c r="O591" s="778"/>
      <c r="P591" s="778"/>
      <c r="Q591" s="778"/>
      <c r="R591" s="778"/>
      <c r="S591" s="778"/>
    </row>
    <row r="592" spans="14:19" ht="27.95" customHeight="1">
      <c r="N592" s="778"/>
      <c r="O592" s="778"/>
      <c r="P592" s="778"/>
      <c r="Q592" s="778"/>
      <c r="R592" s="778"/>
      <c r="S592" s="778"/>
    </row>
    <row r="593" spans="14:19" ht="27.95" customHeight="1">
      <c r="N593" s="778"/>
      <c r="O593" s="778"/>
      <c r="P593" s="778"/>
      <c r="Q593" s="778"/>
      <c r="R593" s="778"/>
      <c r="S593" s="778"/>
    </row>
    <row r="594" spans="14:19" ht="27.95" customHeight="1">
      <c r="N594" s="778"/>
      <c r="O594" s="778"/>
      <c r="P594" s="778"/>
      <c r="Q594" s="778"/>
      <c r="R594" s="778"/>
      <c r="S594" s="778"/>
    </row>
    <row r="595" spans="14:19" ht="27.95" customHeight="1">
      <c r="N595" s="778"/>
      <c r="O595" s="778"/>
      <c r="P595" s="778"/>
      <c r="Q595" s="778"/>
      <c r="R595" s="778"/>
      <c r="S595" s="778"/>
    </row>
    <row r="596" spans="14:19" ht="27.95" customHeight="1">
      <c r="N596" s="778"/>
      <c r="O596" s="778"/>
      <c r="P596" s="778"/>
      <c r="Q596" s="778"/>
      <c r="R596" s="778"/>
      <c r="S596" s="778"/>
    </row>
    <row r="597" spans="14:19" ht="27.95" customHeight="1">
      <c r="N597" s="778"/>
      <c r="O597" s="778"/>
      <c r="P597" s="778"/>
      <c r="Q597" s="778"/>
      <c r="R597" s="778"/>
      <c r="S597" s="778"/>
    </row>
    <row r="598" spans="14:19" ht="27.95" customHeight="1">
      <c r="N598" s="778"/>
      <c r="O598" s="778"/>
      <c r="P598" s="778"/>
      <c r="Q598" s="778"/>
      <c r="R598" s="778"/>
      <c r="S598" s="778"/>
    </row>
    <row r="599" spans="14:19" ht="27.95" customHeight="1">
      <c r="N599" s="778"/>
      <c r="O599" s="778"/>
      <c r="P599" s="778"/>
      <c r="Q599" s="778"/>
      <c r="R599" s="778"/>
      <c r="S599" s="778"/>
    </row>
    <row r="600" spans="14:19" ht="27.95" customHeight="1">
      <c r="N600" s="778"/>
      <c r="O600" s="778"/>
      <c r="P600" s="778"/>
      <c r="Q600" s="778"/>
      <c r="R600" s="778"/>
      <c r="S600" s="778"/>
    </row>
    <row r="601" spans="14:19" ht="27.95" customHeight="1">
      <c r="N601" s="778"/>
      <c r="O601" s="778"/>
      <c r="P601" s="778"/>
      <c r="Q601" s="778"/>
      <c r="R601" s="778"/>
      <c r="S601" s="778"/>
    </row>
    <row r="602" spans="14:19" ht="27.95" customHeight="1">
      <c r="N602" s="778"/>
      <c r="O602" s="778"/>
      <c r="P602" s="778"/>
      <c r="Q602" s="778"/>
      <c r="R602" s="778"/>
      <c r="S602" s="778"/>
    </row>
    <row r="603" spans="14:19" ht="27.95" customHeight="1">
      <c r="N603" s="778"/>
      <c r="O603" s="778"/>
      <c r="P603" s="778"/>
      <c r="Q603" s="778"/>
      <c r="R603" s="778"/>
      <c r="S603" s="778"/>
    </row>
    <row r="604" spans="14:19" ht="27.95" customHeight="1">
      <c r="N604" s="778"/>
      <c r="O604" s="778"/>
      <c r="P604" s="778"/>
      <c r="Q604" s="778"/>
      <c r="R604" s="778"/>
      <c r="S604" s="778"/>
    </row>
    <row r="605" spans="14:19" ht="27.95" customHeight="1">
      <c r="N605" s="778"/>
      <c r="O605" s="778"/>
      <c r="P605" s="778"/>
      <c r="Q605" s="778"/>
      <c r="R605" s="778"/>
      <c r="S605" s="778"/>
    </row>
    <row r="606" spans="14:19" ht="27.95" customHeight="1">
      <c r="N606" s="778"/>
      <c r="O606" s="778"/>
      <c r="P606" s="778"/>
      <c r="Q606" s="778"/>
      <c r="R606" s="778"/>
      <c r="S606" s="778"/>
    </row>
    <row r="607" spans="14:19" ht="27.95" customHeight="1">
      <c r="N607" s="778"/>
      <c r="O607" s="778"/>
      <c r="P607" s="778"/>
      <c r="Q607" s="778"/>
      <c r="R607" s="778"/>
      <c r="S607" s="778"/>
    </row>
    <row r="608" spans="14:19" ht="27.95" customHeight="1">
      <c r="N608" s="778"/>
      <c r="O608" s="778"/>
      <c r="P608" s="778"/>
      <c r="Q608" s="778"/>
      <c r="R608" s="778"/>
      <c r="S608" s="778"/>
    </row>
    <row r="609" spans="14:19" ht="27.95" customHeight="1">
      <c r="N609" s="778"/>
      <c r="O609" s="778"/>
      <c r="P609" s="778"/>
      <c r="Q609" s="778"/>
      <c r="R609" s="778"/>
      <c r="S609" s="778"/>
    </row>
    <row r="610" spans="14:19" ht="27.95" customHeight="1">
      <c r="N610" s="778"/>
      <c r="O610" s="778"/>
      <c r="P610" s="778"/>
      <c r="Q610" s="778"/>
      <c r="R610" s="778"/>
      <c r="S610" s="778"/>
    </row>
    <row r="611" spans="14:19" ht="27.95" customHeight="1">
      <c r="N611" s="778"/>
      <c r="O611" s="778"/>
      <c r="P611" s="778"/>
      <c r="Q611" s="778"/>
      <c r="R611" s="778"/>
      <c r="S611" s="778"/>
    </row>
    <row r="612" spans="14:19" ht="27.95" customHeight="1">
      <c r="N612" s="778"/>
      <c r="O612" s="778"/>
      <c r="P612" s="778"/>
      <c r="Q612" s="778"/>
      <c r="R612" s="778"/>
      <c r="S612" s="778"/>
    </row>
    <row r="613" spans="14:19" ht="27.95" customHeight="1">
      <c r="N613" s="778"/>
      <c r="O613" s="778"/>
      <c r="P613" s="778"/>
      <c r="Q613" s="778"/>
      <c r="R613" s="778"/>
      <c r="S613" s="778"/>
    </row>
    <row r="614" spans="14:19" ht="27.95" customHeight="1">
      <c r="N614" s="778"/>
      <c r="O614" s="778"/>
      <c r="P614" s="778"/>
      <c r="Q614" s="778"/>
      <c r="R614" s="778"/>
      <c r="S614" s="778"/>
    </row>
    <row r="615" spans="14:19" ht="27.95" customHeight="1">
      <c r="N615" s="778"/>
      <c r="O615" s="778"/>
      <c r="P615" s="778"/>
      <c r="Q615" s="778"/>
      <c r="R615" s="778"/>
      <c r="S615" s="778"/>
    </row>
    <row r="616" spans="14:19" ht="27.95" customHeight="1">
      <c r="N616" s="778"/>
      <c r="O616" s="778"/>
      <c r="P616" s="778"/>
      <c r="Q616" s="778"/>
      <c r="R616" s="778"/>
      <c r="S616" s="778"/>
    </row>
    <row r="617" spans="14:19" ht="27.95" customHeight="1">
      <c r="N617" s="778"/>
      <c r="O617" s="778"/>
      <c r="P617" s="778"/>
      <c r="Q617" s="778"/>
      <c r="R617" s="778"/>
      <c r="S617" s="778"/>
    </row>
    <row r="618" spans="14:19" ht="27.95" customHeight="1">
      <c r="N618" s="778"/>
      <c r="O618" s="778"/>
      <c r="P618" s="778"/>
      <c r="Q618" s="778"/>
      <c r="R618" s="778"/>
      <c r="S618" s="778"/>
    </row>
    <row r="619" spans="14:19" ht="27.95" customHeight="1">
      <c r="N619" s="778"/>
      <c r="O619" s="778"/>
      <c r="P619" s="778"/>
      <c r="Q619" s="778"/>
      <c r="R619" s="778"/>
      <c r="S619" s="778"/>
    </row>
    <row r="620" spans="14:19" ht="27.95" customHeight="1">
      <c r="N620" s="778"/>
      <c r="O620" s="778"/>
      <c r="P620" s="778"/>
      <c r="Q620" s="778"/>
      <c r="R620" s="778"/>
      <c r="S620" s="778"/>
    </row>
    <row r="621" spans="14:19" ht="27.95" customHeight="1">
      <c r="N621" s="778"/>
      <c r="O621" s="778"/>
      <c r="P621" s="778"/>
      <c r="Q621" s="778"/>
      <c r="R621" s="778"/>
      <c r="S621" s="778"/>
    </row>
    <row r="622" spans="14:19" ht="27.95" customHeight="1">
      <c r="N622" s="778"/>
      <c r="O622" s="778"/>
      <c r="P622" s="778"/>
      <c r="Q622" s="778"/>
      <c r="R622" s="778"/>
      <c r="S622" s="778"/>
    </row>
    <row r="623" spans="14:19" ht="27.95" customHeight="1">
      <c r="N623" s="778"/>
      <c r="O623" s="778"/>
      <c r="P623" s="778"/>
      <c r="Q623" s="778"/>
      <c r="R623" s="778"/>
      <c r="S623" s="778"/>
    </row>
    <row r="624" spans="14:19" ht="27.95" customHeight="1">
      <c r="N624" s="778"/>
      <c r="O624" s="778"/>
      <c r="P624" s="778"/>
      <c r="Q624" s="778"/>
      <c r="R624" s="778"/>
      <c r="S624" s="778"/>
    </row>
    <row r="625" spans="14:19" ht="27.95" customHeight="1">
      <c r="N625" s="778"/>
      <c r="O625" s="778"/>
      <c r="P625" s="778"/>
      <c r="Q625" s="778"/>
      <c r="R625" s="778"/>
      <c r="S625" s="778"/>
    </row>
    <row r="626" spans="14:19" ht="27.95" customHeight="1">
      <c r="N626" s="778"/>
      <c r="O626" s="778"/>
      <c r="P626" s="778"/>
      <c r="Q626" s="778"/>
      <c r="R626" s="778"/>
      <c r="S626" s="778"/>
    </row>
    <row r="627" spans="14:19" ht="27.95" customHeight="1">
      <c r="N627" s="778"/>
      <c r="O627" s="778"/>
      <c r="P627" s="778"/>
      <c r="Q627" s="778"/>
      <c r="R627" s="778"/>
      <c r="S627" s="778"/>
    </row>
    <row r="628" spans="14:19" ht="27.95" customHeight="1">
      <c r="N628" s="778"/>
      <c r="O628" s="778"/>
      <c r="P628" s="778"/>
      <c r="Q628" s="778"/>
      <c r="R628" s="778"/>
      <c r="S628" s="778"/>
    </row>
    <row r="629" spans="14:19" ht="27.95" customHeight="1">
      <c r="N629" s="778"/>
      <c r="O629" s="778"/>
      <c r="P629" s="778"/>
      <c r="Q629" s="778"/>
      <c r="R629" s="778"/>
      <c r="S629" s="778"/>
    </row>
    <row r="630" spans="14:19" ht="27.95" customHeight="1">
      <c r="N630" s="778"/>
      <c r="O630" s="778"/>
      <c r="P630" s="778"/>
      <c r="Q630" s="778"/>
      <c r="R630" s="778"/>
      <c r="S630" s="778"/>
    </row>
    <row r="631" spans="14:19" ht="27.95" customHeight="1">
      <c r="N631" s="778"/>
      <c r="O631" s="778"/>
      <c r="P631" s="778"/>
      <c r="Q631" s="778"/>
      <c r="R631" s="778"/>
      <c r="S631" s="778"/>
    </row>
    <row r="632" spans="14:19" ht="27.95" customHeight="1">
      <c r="N632" s="778"/>
      <c r="O632" s="778"/>
      <c r="P632" s="778"/>
      <c r="Q632" s="778"/>
      <c r="R632" s="778"/>
      <c r="S632" s="778"/>
    </row>
    <row r="633" spans="14:19" ht="27.95" customHeight="1">
      <c r="N633" s="778"/>
      <c r="O633" s="778"/>
      <c r="P633" s="778"/>
      <c r="Q633" s="778"/>
      <c r="R633" s="778"/>
      <c r="S633" s="778"/>
    </row>
    <row r="634" spans="14:19" ht="27.95" customHeight="1">
      <c r="N634" s="778"/>
      <c r="O634" s="778"/>
      <c r="P634" s="778"/>
      <c r="Q634" s="778"/>
      <c r="R634" s="778"/>
      <c r="S634" s="778"/>
    </row>
    <row r="635" spans="14:19" ht="27.95" customHeight="1">
      <c r="N635" s="778"/>
      <c r="O635" s="778"/>
      <c r="P635" s="778"/>
      <c r="Q635" s="778"/>
      <c r="R635" s="778"/>
      <c r="S635" s="778"/>
    </row>
    <row r="636" spans="14:19" ht="27.95" customHeight="1">
      <c r="N636" s="778"/>
      <c r="O636" s="778"/>
      <c r="P636" s="778"/>
      <c r="Q636" s="778"/>
      <c r="R636" s="778"/>
      <c r="S636" s="778"/>
    </row>
    <row r="637" spans="14:19" ht="27.95" customHeight="1">
      <c r="N637" s="778"/>
      <c r="O637" s="778"/>
      <c r="P637" s="778"/>
      <c r="Q637" s="778"/>
      <c r="R637" s="778"/>
      <c r="S637" s="778"/>
    </row>
    <row r="638" spans="14:19" ht="27.95" customHeight="1">
      <c r="N638" s="778"/>
      <c r="O638" s="778"/>
      <c r="P638" s="778"/>
      <c r="Q638" s="778"/>
      <c r="R638" s="778"/>
      <c r="S638" s="778"/>
    </row>
    <row r="639" spans="14:19" ht="27.95" customHeight="1">
      <c r="N639" s="778"/>
      <c r="O639" s="778"/>
      <c r="P639" s="778"/>
      <c r="Q639" s="778"/>
      <c r="R639" s="778"/>
      <c r="S639" s="778"/>
    </row>
    <row r="640" spans="14:19" ht="27.95" customHeight="1">
      <c r="N640" s="778"/>
      <c r="O640" s="778"/>
      <c r="P640" s="778"/>
      <c r="Q640" s="778"/>
      <c r="R640" s="778"/>
      <c r="S640" s="778"/>
    </row>
    <row r="641" spans="14:19" ht="27.95" customHeight="1">
      <c r="N641" s="778"/>
      <c r="O641" s="778"/>
      <c r="P641" s="778"/>
      <c r="Q641" s="778"/>
      <c r="R641" s="778"/>
      <c r="S641" s="778"/>
    </row>
    <row r="642" spans="14:19" ht="27.95" customHeight="1">
      <c r="N642" s="778"/>
      <c r="O642" s="778"/>
      <c r="P642" s="778"/>
      <c r="Q642" s="778"/>
      <c r="R642" s="778"/>
      <c r="S642" s="778"/>
    </row>
    <row r="643" spans="14:19" ht="27.95" customHeight="1">
      <c r="N643" s="778"/>
      <c r="O643" s="778"/>
      <c r="P643" s="778"/>
      <c r="Q643" s="778"/>
      <c r="R643" s="778"/>
      <c r="S643" s="778"/>
    </row>
    <row r="644" spans="14:19" ht="27.95" customHeight="1">
      <c r="N644" s="778"/>
      <c r="O644" s="778"/>
      <c r="P644" s="778"/>
      <c r="Q644" s="778"/>
      <c r="R644" s="778"/>
      <c r="S644" s="778"/>
    </row>
    <row r="645" spans="14:19" ht="27.95" customHeight="1">
      <c r="N645" s="778"/>
      <c r="O645" s="778"/>
      <c r="P645" s="778"/>
      <c r="Q645" s="778"/>
      <c r="R645" s="778"/>
      <c r="S645" s="778"/>
    </row>
    <row r="646" spans="14:19" ht="27.95" customHeight="1">
      <c r="N646" s="778"/>
      <c r="O646" s="778"/>
      <c r="P646" s="778"/>
      <c r="Q646" s="778"/>
      <c r="R646" s="778"/>
      <c r="S646" s="778"/>
    </row>
    <row r="647" spans="14:19" ht="27.95" customHeight="1">
      <c r="N647" s="778"/>
      <c r="O647" s="778"/>
      <c r="P647" s="778"/>
      <c r="Q647" s="778"/>
      <c r="R647" s="778"/>
      <c r="S647" s="778"/>
    </row>
    <row r="648" spans="14:19" ht="27.95" customHeight="1">
      <c r="N648" s="778"/>
      <c r="O648" s="778"/>
      <c r="P648" s="778"/>
      <c r="Q648" s="778"/>
      <c r="R648" s="778"/>
      <c r="S648" s="778"/>
    </row>
    <row r="649" spans="14:19" ht="27.95" customHeight="1">
      <c r="N649" s="778"/>
      <c r="O649" s="778"/>
      <c r="P649" s="778"/>
      <c r="Q649" s="778"/>
      <c r="R649" s="778"/>
      <c r="S649" s="778"/>
    </row>
    <row r="650" spans="14:19" ht="27.95" customHeight="1">
      <c r="N650" s="778"/>
      <c r="O650" s="778"/>
      <c r="P650" s="778"/>
      <c r="Q650" s="778"/>
      <c r="R650" s="778"/>
      <c r="S650" s="778"/>
    </row>
    <row r="651" spans="14:19" ht="27.95" customHeight="1">
      <c r="N651" s="778"/>
      <c r="O651" s="778"/>
      <c r="P651" s="778"/>
      <c r="Q651" s="778"/>
      <c r="R651" s="778"/>
      <c r="S651" s="778"/>
    </row>
    <row r="652" spans="14:19" ht="27.95" customHeight="1">
      <c r="N652" s="778"/>
      <c r="O652" s="778"/>
      <c r="P652" s="778"/>
      <c r="Q652" s="778"/>
      <c r="R652" s="778"/>
      <c r="S652" s="778"/>
    </row>
    <row r="653" spans="14:19" ht="27.95" customHeight="1">
      <c r="N653" s="778"/>
      <c r="O653" s="778"/>
      <c r="P653" s="778"/>
      <c r="Q653" s="778"/>
      <c r="R653" s="778"/>
      <c r="S653" s="778"/>
    </row>
    <row r="654" spans="14:19" ht="27.95" customHeight="1">
      <c r="N654" s="778"/>
      <c r="O654" s="778"/>
      <c r="P654" s="778"/>
      <c r="Q654" s="778"/>
      <c r="R654" s="778"/>
      <c r="S654" s="778"/>
    </row>
    <row r="655" spans="14:19" ht="27.95" customHeight="1">
      <c r="N655" s="778"/>
      <c r="O655" s="778"/>
      <c r="P655" s="778"/>
      <c r="Q655" s="778"/>
      <c r="R655" s="778"/>
      <c r="S655" s="778"/>
    </row>
    <row r="656" spans="14:19" ht="27.95" customHeight="1">
      <c r="N656" s="778"/>
      <c r="O656" s="778"/>
      <c r="P656" s="778"/>
      <c r="Q656" s="778"/>
      <c r="R656" s="778"/>
      <c r="S656" s="778"/>
    </row>
    <row r="657" spans="14:19" ht="27.95" customHeight="1">
      <c r="N657" s="778"/>
      <c r="O657" s="778"/>
      <c r="P657" s="778"/>
      <c r="Q657" s="778"/>
      <c r="R657" s="778"/>
      <c r="S657" s="778"/>
    </row>
    <row r="658" spans="14:19" ht="27.95" customHeight="1">
      <c r="N658" s="778"/>
      <c r="O658" s="778"/>
      <c r="P658" s="778"/>
      <c r="Q658" s="778"/>
      <c r="R658" s="778"/>
      <c r="S658" s="778"/>
    </row>
    <row r="659" spans="14:19" ht="27.95" customHeight="1">
      <c r="N659" s="778"/>
      <c r="O659" s="778"/>
      <c r="P659" s="778"/>
      <c r="Q659" s="778"/>
      <c r="R659" s="778"/>
      <c r="S659" s="778"/>
    </row>
    <row r="660" spans="14:19" ht="27.95" customHeight="1">
      <c r="N660" s="778"/>
      <c r="O660" s="778"/>
      <c r="P660" s="778"/>
      <c r="Q660" s="778"/>
      <c r="R660" s="778"/>
      <c r="S660" s="778"/>
    </row>
    <row r="661" spans="14:19" ht="27.95" customHeight="1">
      <c r="N661" s="778"/>
      <c r="O661" s="778"/>
      <c r="P661" s="778"/>
      <c r="Q661" s="778"/>
      <c r="R661" s="778"/>
      <c r="S661" s="778"/>
    </row>
    <row r="662" spans="14:19" ht="27.95" customHeight="1">
      <c r="N662" s="778"/>
      <c r="O662" s="778"/>
      <c r="P662" s="778"/>
      <c r="Q662" s="778"/>
      <c r="R662" s="778"/>
      <c r="S662" s="778"/>
    </row>
    <row r="663" spans="14:19" ht="27.95" customHeight="1">
      <c r="N663" s="778"/>
      <c r="O663" s="778"/>
      <c r="P663" s="778"/>
      <c r="Q663" s="778"/>
      <c r="R663" s="778"/>
      <c r="S663" s="778"/>
    </row>
    <row r="664" spans="14:19" ht="27.95" customHeight="1">
      <c r="N664" s="778"/>
      <c r="O664" s="778"/>
      <c r="P664" s="778"/>
      <c r="Q664" s="778"/>
      <c r="R664" s="778"/>
      <c r="S664" s="778"/>
    </row>
    <row r="665" spans="14:19" ht="27.95" customHeight="1">
      <c r="N665" s="778"/>
      <c r="O665" s="778"/>
      <c r="P665" s="778"/>
      <c r="Q665" s="778"/>
      <c r="R665" s="778"/>
      <c r="S665" s="778"/>
    </row>
    <row r="666" spans="14:19" ht="27.95" customHeight="1">
      <c r="N666" s="778"/>
      <c r="O666" s="778"/>
      <c r="P666" s="778"/>
      <c r="Q666" s="778"/>
      <c r="R666" s="778"/>
      <c r="S666" s="778"/>
    </row>
    <row r="667" spans="14:19" ht="27.95" customHeight="1">
      <c r="N667" s="778"/>
      <c r="O667" s="778"/>
      <c r="P667" s="778"/>
      <c r="Q667" s="778"/>
      <c r="R667" s="778"/>
      <c r="S667" s="778"/>
    </row>
    <row r="668" spans="14:19" ht="27.95" customHeight="1">
      <c r="N668" s="778"/>
      <c r="O668" s="778"/>
      <c r="P668" s="778"/>
      <c r="Q668" s="778"/>
      <c r="R668" s="778"/>
      <c r="S668" s="778"/>
    </row>
    <row r="669" spans="14:19" ht="27.95" customHeight="1">
      <c r="N669" s="778"/>
      <c r="O669" s="778"/>
      <c r="P669" s="778"/>
      <c r="Q669" s="778"/>
      <c r="R669" s="778"/>
      <c r="S669" s="778"/>
    </row>
    <row r="670" spans="14:19" ht="27.95" customHeight="1">
      <c r="N670" s="778"/>
      <c r="O670" s="778"/>
      <c r="P670" s="778"/>
      <c r="Q670" s="778"/>
      <c r="R670" s="778"/>
      <c r="S670" s="778"/>
    </row>
    <row r="671" spans="14:19" ht="27.95" customHeight="1">
      <c r="N671" s="778"/>
      <c r="O671" s="778"/>
      <c r="P671" s="778"/>
      <c r="Q671" s="778"/>
      <c r="R671" s="778"/>
      <c r="S671" s="778"/>
    </row>
    <row r="672" spans="14:19" ht="27.95" customHeight="1">
      <c r="N672" s="778"/>
      <c r="O672" s="778"/>
      <c r="P672" s="778"/>
      <c r="Q672" s="778"/>
      <c r="R672" s="778"/>
      <c r="S672" s="778"/>
    </row>
    <row r="673" spans="14:19" ht="27.95" customHeight="1">
      <c r="N673" s="778"/>
      <c r="O673" s="778"/>
      <c r="P673" s="778"/>
      <c r="Q673" s="778"/>
      <c r="R673" s="778"/>
      <c r="S673" s="778"/>
    </row>
    <row r="674" spans="14:19" ht="27.95" customHeight="1">
      <c r="N674" s="778"/>
      <c r="O674" s="778"/>
      <c r="P674" s="778"/>
      <c r="Q674" s="778"/>
      <c r="R674" s="778"/>
      <c r="S674" s="778"/>
    </row>
    <row r="675" spans="14:19" ht="27.95" customHeight="1">
      <c r="N675" s="778"/>
      <c r="O675" s="778"/>
      <c r="P675" s="778"/>
      <c r="Q675" s="778"/>
      <c r="R675" s="778"/>
      <c r="S675" s="778"/>
    </row>
    <row r="676" spans="14:19" ht="27.95" customHeight="1">
      <c r="N676" s="778"/>
      <c r="O676" s="778"/>
      <c r="P676" s="778"/>
      <c r="Q676" s="778"/>
      <c r="R676" s="778"/>
      <c r="S676" s="778"/>
    </row>
    <row r="677" spans="14:19" ht="27.95" customHeight="1">
      <c r="N677" s="778"/>
      <c r="O677" s="778"/>
      <c r="P677" s="778"/>
      <c r="Q677" s="778"/>
      <c r="R677" s="778"/>
      <c r="S677" s="778"/>
    </row>
    <row r="678" spans="14:19" ht="27.95" customHeight="1">
      <c r="N678" s="778"/>
      <c r="O678" s="778"/>
      <c r="P678" s="778"/>
      <c r="Q678" s="778"/>
      <c r="R678" s="778"/>
      <c r="S678" s="778"/>
    </row>
    <row r="679" spans="14:19" ht="27.95" customHeight="1">
      <c r="N679" s="778"/>
      <c r="O679" s="778"/>
      <c r="P679" s="778"/>
      <c r="Q679" s="778"/>
      <c r="R679" s="778"/>
      <c r="S679" s="778"/>
    </row>
    <row r="680" spans="14:19" ht="27.95" customHeight="1">
      <c r="N680" s="778"/>
      <c r="O680" s="778"/>
      <c r="P680" s="778"/>
      <c r="Q680" s="778"/>
      <c r="R680" s="778"/>
      <c r="S680" s="778"/>
    </row>
    <row r="681" spans="14:19" ht="27.95" customHeight="1">
      <c r="N681" s="778"/>
      <c r="O681" s="778"/>
      <c r="P681" s="778"/>
      <c r="Q681" s="778"/>
      <c r="R681" s="778"/>
      <c r="S681" s="778"/>
    </row>
    <row r="682" spans="14:19" ht="27.95" customHeight="1">
      <c r="N682" s="778"/>
      <c r="O682" s="778"/>
      <c r="P682" s="778"/>
      <c r="Q682" s="778"/>
      <c r="R682" s="778"/>
      <c r="S682" s="778"/>
    </row>
    <row r="683" spans="14:19" ht="27.95" customHeight="1">
      <c r="N683" s="778"/>
      <c r="O683" s="778"/>
      <c r="P683" s="778"/>
      <c r="Q683" s="778"/>
      <c r="R683" s="778"/>
      <c r="S683" s="778"/>
    </row>
    <row r="684" spans="14:19" ht="27.95" customHeight="1">
      <c r="N684" s="778"/>
      <c r="O684" s="778"/>
      <c r="P684" s="778"/>
      <c r="Q684" s="778"/>
      <c r="R684" s="778"/>
      <c r="S684" s="778"/>
    </row>
    <row r="685" spans="14:19" ht="27.95" customHeight="1">
      <c r="N685" s="778"/>
      <c r="O685" s="778"/>
      <c r="P685" s="778"/>
      <c r="Q685" s="778"/>
      <c r="R685" s="778"/>
      <c r="S685" s="778"/>
    </row>
    <row r="686" spans="14:19" ht="27.95" customHeight="1">
      <c r="N686" s="778"/>
      <c r="O686" s="778"/>
      <c r="P686" s="778"/>
      <c r="Q686" s="778"/>
      <c r="R686" s="778"/>
      <c r="S686" s="778"/>
    </row>
    <row r="687" spans="14:19" ht="27.95" customHeight="1">
      <c r="N687" s="778"/>
      <c r="O687" s="778"/>
      <c r="P687" s="778"/>
      <c r="Q687" s="778"/>
      <c r="R687" s="778"/>
      <c r="S687" s="778"/>
    </row>
    <row r="688" spans="14:19" ht="27.95" customHeight="1">
      <c r="N688" s="778"/>
      <c r="O688" s="778"/>
      <c r="P688" s="778"/>
      <c r="Q688" s="778"/>
      <c r="R688" s="778"/>
      <c r="S688" s="778"/>
    </row>
    <row r="689" spans="14:19" ht="27.95" customHeight="1">
      <c r="N689" s="778"/>
      <c r="O689" s="778"/>
      <c r="P689" s="778"/>
      <c r="Q689" s="778"/>
      <c r="R689" s="778"/>
      <c r="S689" s="778"/>
    </row>
    <row r="690" spans="14:19" ht="27.95" customHeight="1">
      <c r="N690" s="778"/>
      <c r="O690" s="778"/>
      <c r="P690" s="778"/>
      <c r="Q690" s="778"/>
      <c r="R690" s="778"/>
      <c r="S690" s="778"/>
    </row>
    <row r="691" spans="14:19" ht="27.95" customHeight="1">
      <c r="N691" s="778"/>
      <c r="O691" s="778"/>
      <c r="P691" s="778"/>
      <c r="Q691" s="778"/>
      <c r="R691" s="778"/>
      <c r="S691" s="778"/>
    </row>
    <row r="692" spans="14:19" ht="27.95" customHeight="1">
      <c r="N692" s="778"/>
      <c r="O692" s="778"/>
      <c r="P692" s="778"/>
      <c r="Q692" s="778"/>
      <c r="R692" s="778"/>
      <c r="S692" s="778"/>
    </row>
    <row r="693" spans="14:19" ht="27.95" customHeight="1">
      <c r="N693" s="778"/>
      <c r="O693" s="778"/>
      <c r="P693" s="778"/>
      <c r="Q693" s="778"/>
      <c r="R693" s="778"/>
      <c r="S693" s="778"/>
    </row>
    <row r="694" spans="14:19" ht="27.95" customHeight="1">
      <c r="N694" s="778"/>
      <c r="O694" s="778"/>
      <c r="P694" s="778"/>
      <c r="Q694" s="778"/>
      <c r="R694" s="778"/>
      <c r="S694" s="778"/>
    </row>
    <row r="695" spans="14:19" ht="27.95" customHeight="1">
      <c r="N695" s="778"/>
      <c r="O695" s="778"/>
      <c r="P695" s="778"/>
      <c r="Q695" s="778"/>
      <c r="R695" s="778"/>
      <c r="S695" s="778"/>
    </row>
    <row r="696" spans="14:19" ht="27.95" customHeight="1">
      <c r="N696" s="778"/>
      <c r="O696" s="778"/>
      <c r="P696" s="778"/>
      <c r="Q696" s="778"/>
      <c r="R696" s="778"/>
      <c r="S696" s="778"/>
    </row>
    <row r="697" spans="14:19" ht="27.95" customHeight="1">
      <c r="N697" s="778"/>
      <c r="O697" s="778"/>
      <c r="P697" s="778"/>
      <c r="Q697" s="778"/>
      <c r="R697" s="778"/>
      <c r="S697" s="778"/>
    </row>
    <row r="698" spans="14:19" ht="27.95" customHeight="1">
      <c r="N698" s="778"/>
      <c r="O698" s="778"/>
      <c r="P698" s="778"/>
      <c r="Q698" s="778"/>
      <c r="R698" s="778"/>
      <c r="S698" s="778"/>
    </row>
    <row r="699" spans="14:19" ht="27.95" customHeight="1">
      <c r="N699" s="778"/>
      <c r="O699" s="778"/>
      <c r="P699" s="778"/>
      <c r="Q699" s="778"/>
      <c r="R699" s="778"/>
      <c r="S699" s="778"/>
    </row>
    <row r="700" spans="14:19" ht="27.95" customHeight="1">
      <c r="N700" s="778"/>
      <c r="O700" s="778"/>
      <c r="P700" s="778"/>
      <c r="Q700" s="778"/>
      <c r="R700" s="778"/>
      <c r="S700" s="778"/>
    </row>
    <row r="701" spans="14:19" ht="27.95" customHeight="1">
      <c r="N701" s="778"/>
      <c r="O701" s="778"/>
      <c r="P701" s="778"/>
      <c r="Q701" s="778"/>
      <c r="R701" s="778"/>
      <c r="S701" s="778"/>
    </row>
    <row r="702" spans="14:19" ht="27.95" customHeight="1">
      <c r="N702" s="778"/>
      <c r="O702" s="778"/>
      <c r="P702" s="778"/>
      <c r="Q702" s="778"/>
      <c r="R702" s="778"/>
      <c r="S702" s="778"/>
    </row>
    <row r="703" spans="14:19" ht="27.95" customHeight="1">
      <c r="N703" s="778"/>
      <c r="O703" s="778"/>
      <c r="P703" s="778"/>
      <c r="Q703" s="778"/>
      <c r="R703" s="778"/>
      <c r="S703" s="778"/>
    </row>
    <row r="704" spans="14:19" ht="27.95" customHeight="1">
      <c r="N704" s="778"/>
      <c r="O704" s="778"/>
      <c r="P704" s="778"/>
      <c r="Q704" s="778"/>
      <c r="R704" s="778"/>
      <c r="S704" s="778"/>
    </row>
    <row r="705" spans="14:19" ht="27.95" customHeight="1">
      <c r="N705" s="778"/>
      <c r="O705" s="778"/>
      <c r="P705" s="778"/>
      <c r="Q705" s="778"/>
      <c r="R705" s="778"/>
      <c r="S705" s="778"/>
    </row>
    <row r="706" spans="14:19" ht="27.95" customHeight="1">
      <c r="N706" s="778"/>
      <c r="O706" s="778"/>
      <c r="P706" s="778"/>
      <c r="Q706" s="778"/>
      <c r="R706" s="778"/>
      <c r="S706" s="778"/>
    </row>
    <row r="707" spans="14:19" ht="27.95" customHeight="1">
      <c r="N707" s="778"/>
      <c r="O707" s="778"/>
      <c r="P707" s="778"/>
      <c r="Q707" s="778"/>
      <c r="R707" s="778"/>
      <c r="S707" s="778"/>
    </row>
    <row r="708" spans="14:19" ht="27.95" customHeight="1">
      <c r="N708" s="778"/>
      <c r="O708" s="778"/>
      <c r="P708" s="778"/>
      <c r="Q708" s="778"/>
      <c r="R708" s="778"/>
      <c r="S708" s="778"/>
    </row>
    <row r="709" spans="14:19" ht="27.95" customHeight="1">
      <c r="N709" s="778"/>
      <c r="O709" s="778"/>
      <c r="P709" s="778"/>
      <c r="Q709" s="778"/>
      <c r="R709" s="778"/>
      <c r="S709" s="778"/>
    </row>
    <row r="710" spans="14:19" ht="27.95" customHeight="1">
      <c r="N710" s="778"/>
      <c r="O710" s="778"/>
      <c r="P710" s="778"/>
      <c r="Q710" s="778"/>
      <c r="R710" s="778"/>
      <c r="S710" s="778"/>
    </row>
    <row r="711" spans="14:19" ht="27.95" customHeight="1">
      <c r="N711" s="778"/>
      <c r="O711" s="778"/>
      <c r="P711" s="778"/>
      <c r="Q711" s="778"/>
      <c r="R711" s="778"/>
      <c r="S711" s="778"/>
    </row>
    <row r="712" spans="14:19" ht="27.95" customHeight="1">
      <c r="N712" s="778"/>
      <c r="O712" s="778"/>
      <c r="P712" s="778"/>
      <c r="Q712" s="778"/>
      <c r="R712" s="778"/>
      <c r="S712" s="778"/>
    </row>
    <row r="713" spans="14:19" ht="27.95" customHeight="1">
      <c r="N713" s="778"/>
      <c r="O713" s="778"/>
      <c r="P713" s="778"/>
      <c r="Q713" s="778"/>
      <c r="R713" s="778"/>
      <c r="S713" s="778"/>
    </row>
    <row r="714" spans="14:19" ht="27.95" customHeight="1">
      <c r="N714" s="778"/>
      <c r="O714" s="778"/>
      <c r="P714" s="778"/>
      <c r="Q714" s="778"/>
      <c r="R714" s="778"/>
      <c r="S714" s="778"/>
    </row>
    <row r="715" spans="14:19" ht="27.95" customHeight="1">
      <c r="N715" s="778"/>
      <c r="O715" s="778"/>
      <c r="P715" s="778"/>
      <c r="Q715" s="778"/>
      <c r="R715" s="778"/>
      <c r="S715" s="778"/>
    </row>
    <row r="716" spans="14:19" ht="27.95" customHeight="1">
      <c r="N716" s="778"/>
      <c r="O716" s="778"/>
      <c r="P716" s="778"/>
      <c r="Q716" s="778"/>
      <c r="R716" s="778"/>
      <c r="S716" s="778"/>
    </row>
    <row r="717" spans="14:19" ht="27.95" customHeight="1">
      <c r="N717" s="778"/>
      <c r="O717" s="778"/>
      <c r="P717" s="778"/>
      <c r="Q717" s="778"/>
      <c r="R717" s="778"/>
      <c r="S717" s="778"/>
    </row>
    <row r="718" spans="14:19" ht="27.95" customHeight="1">
      <c r="N718" s="778"/>
      <c r="O718" s="778"/>
      <c r="P718" s="778"/>
      <c r="Q718" s="778"/>
      <c r="R718" s="778"/>
      <c r="S718" s="778"/>
    </row>
    <row r="719" spans="14:19" ht="27.95" customHeight="1">
      <c r="N719" s="778"/>
      <c r="O719" s="778"/>
      <c r="P719" s="778"/>
      <c r="Q719" s="778"/>
      <c r="R719" s="778"/>
      <c r="S719" s="778"/>
    </row>
    <row r="720" spans="14:19" ht="27.95" customHeight="1">
      <c r="N720" s="778"/>
      <c r="O720" s="778"/>
      <c r="P720" s="778"/>
      <c r="Q720" s="778"/>
      <c r="R720" s="778"/>
      <c r="S720" s="778"/>
    </row>
    <row r="721" spans="14:19" ht="27.95" customHeight="1">
      <c r="N721" s="778"/>
      <c r="O721" s="778"/>
      <c r="P721" s="778"/>
      <c r="Q721" s="778"/>
      <c r="R721" s="778"/>
      <c r="S721" s="778"/>
    </row>
    <row r="722" spans="14:19" ht="27.95" customHeight="1">
      <c r="N722" s="778"/>
      <c r="O722" s="778"/>
      <c r="P722" s="778"/>
      <c r="Q722" s="778"/>
      <c r="R722" s="778"/>
      <c r="S722" s="778"/>
    </row>
    <row r="723" spans="14:19" ht="27.95" customHeight="1">
      <c r="N723" s="778"/>
      <c r="O723" s="778"/>
      <c r="P723" s="778"/>
      <c r="Q723" s="778"/>
      <c r="R723" s="778"/>
      <c r="S723" s="778"/>
    </row>
    <row r="724" spans="14:19" ht="27.95" customHeight="1">
      <c r="N724" s="778"/>
      <c r="O724" s="778"/>
      <c r="P724" s="778"/>
      <c r="Q724" s="778"/>
      <c r="R724" s="778"/>
      <c r="S724" s="778"/>
    </row>
    <row r="725" spans="14:19" ht="27.95" customHeight="1">
      <c r="N725" s="778"/>
      <c r="O725" s="778"/>
      <c r="P725" s="778"/>
      <c r="Q725" s="778"/>
      <c r="R725" s="778"/>
      <c r="S725" s="778"/>
    </row>
    <row r="726" spans="14:19" ht="27.95" customHeight="1">
      <c r="N726" s="778"/>
      <c r="O726" s="778"/>
      <c r="P726" s="778"/>
      <c r="Q726" s="778"/>
      <c r="R726" s="778"/>
      <c r="S726" s="778"/>
    </row>
    <row r="727" spans="14:19" ht="27.95" customHeight="1">
      <c r="N727" s="778"/>
      <c r="O727" s="778"/>
      <c r="P727" s="778"/>
      <c r="Q727" s="778"/>
      <c r="R727" s="778"/>
      <c r="S727" s="778"/>
    </row>
    <row r="728" spans="14:19" ht="27.95" customHeight="1">
      <c r="N728" s="778"/>
      <c r="O728" s="778"/>
      <c r="P728" s="778"/>
      <c r="Q728" s="778"/>
      <c r="R728" s="778"/>
      <c r="S728" s="778"/>
    </row>
    <row r="729" spans="14:19" ht="27.95" customHeight="1">
      <c r="N729" s="778"/>
      <c r="O729" s="778"/>
      <c r="P729" s="778"/>
      <c r="Q729" s="778"/>
      <c r="R729" s="778"/>
      <c r="S729" s="778"/>
    </row>
    <row r="730" spans="14:19" ht="27.95" customHeight="1">
      <c r="N730" s="778"/>
      <c r="O730" s="778"/>
      <c r="P730" s="778"/>
      <c r="Q730" s="778"/>
      <c r="R730" s="778"/>
      <c r="S730" s="778"/>
    </row>
    <row r="731" spans="14:19" ht="27.95" customHeight="1">
      <c r="N731" s="778"/>
      <c r="O731" s="778"/>
      <c r="P731" s="778"/>
      <c r="Q731" s="778"/>
      <c r="R731" s="778"/>
      <c r="S731" s="778"/>
    </row>
    <row r="732" spans="14:19" ht="27.95" customHeight="1">
      <c r="N732" s="778"/>
      <c r="O732" s="778"/>
      <c r="P732" s="778"/>
      <c r="Q732" s="778"/>
      <c r="R732" s="778"/>
      <c r="S732" s="778"/>
    </row>
    <row r="733" spans="14:19" ht="27.95" customHeight="1">
      <c r="N733" s="778"/>
      <c r="O733" s="778"/>
      <c r="P733" s="778"/>
      <c r="Q733" s="778"/>
      <c r="R733" s="778"/>
      <c r="S733" s="778"/>
    </row>
    <row r="734" spans="14:19" ht="27.95" customHeight="1">
      <c r="N734" s="778"/>
      <c r="O734" s="778"/>
      <c r="P734" s="778"/>
      <c r="Q734" s="778"/>
      <c r="R734" s="778"/>
      <c r="S734" s="778"/>
    </row>
    <row r="735" spans="14:19" ht="27.95" customHeight="1">
      <c r="N735" s="778"/>
      <c r="O735" s="778"/>
      <c r="P735" s="778"/>
      <c r="Q735" s="778"/>
      <c r="R735" s="778"/>
      <c r="S735" s="778"/>
    </row>
    <row r="736" spans="14:19" ht="27.95" customHeight="1">
      <c r="N736" s="778"/>
      <c r="O736" s="778"/>
      <c r="P736" s="778"/>
      <c r="Q736" s="778"/>
      <c r="R736" s="778"/>
      <c r="S736" s="778"/>
    </row>
    <row r="737" spans="14:19" ht="27.95" customHeight="1">
      <c r="N737" s="778"/>
      <c r="O737" s="778"/>
      <c r="P737" s="778"/>
      <c r="Q737" s="778"/>
      <c r="R737" s="778"/>
      <c r="S737" s="778"/>
    </row>
    <row r="738" spans="14:19" ht="27.95" customHeight="1">
      <c r="N738" s="778"/>
      <c r="O738" s="778"/>
      <c r="P738" s="778"/>
      <c r="Q738" s="778"/>
      <c r="R738" s="778"/>
      <c r="S738" s="778"/>
    </row>
    <row r="739" spans="14:19" ht="27.95" customHeight="1">
      <c r="N739" s="778"/>
      <c r="O739" s="778"/>
      <c r="P739" s="778"/>
      <c r="Q739" s="778"/>
      <c r="R739" s="778"/>
      <c r="S739" s="778"/>
    </row>
    <row r="740" spans="14:19" ht="27.95" customHeight="1">
      <c r="N740" s="778"/>
      <c r="O740" s="778"/>
      <c r="P740" s="778"/>
      <c r="Q740" s="778"/>
      <c r="R740" s="778"/>
      <c r="S740" s="778"/>
    </row>
    <row r="741" spans="14:19" ht="27.95" customHeight="1">
      <c r="N741" s="778"/>
      <c r="O741" s="778"/>
      <c r="P741" s="778"/>
      <c r="Q741" s="778"/>
      <c r="R741" s="778"/>
      <c r="S741" s="778"/>
    </row>
    <row r="742" spans="14:19" ht="27.95" customHeight="1">
      <c r="N742" s="778"/>
      <c r="O742" s="778"/>
      <c r="P742" s="778"/>
      <c r="Q742" s="778"/>
      <c r="R742" s="778"/>
      <c r="S742" s="778"/>
    </row>
    <row r="743" spans="14:19" ht="27.95" customHeight="1">
      <c r="N743" s="778"/>
      <c r="O743" s="778"/>
      <c r="P743" s="778"/>
      <c r="Q743" s="778"/>
      <c r="R743" s="778"/>
      <c r="S743" s="778"/>
    </row>
    <row r="744" spans="14:19" ht="27.95" customHeight="1">
      <c r="N744" s="778"/>
      <c r="O744" s="778"/>
      <c r="P744" s="778"/>
      <c r="Q744" s="778"/>
      <c r="R744" s="778"/>
      <c r="S744" s="778"/>
    </row>
    <row r="745" spans="14:19" ht="27.95" customHeight="1">
      <c r="N745" s="778"/>
      <c r="O745" s="778"/>
      <c r="P745" s="778"/>
      <c r="Q745" s="778"/>
      <c r="R745" s="778"/>
      <c r="S745" s="778"/>
    </row>
    <row r="746" spans="14:19" ht="27.95" customHeight="1">
      <c r="N746" s="778"/>
      <c r="O746" s="778"/>
      <c r="P746" s="778"/>
      <c r="Q746" s="778"/>
      <c r="R746" s="778"/>
      <c r="S746" s="778"/>
    </row>
    <row r="747" spans="14:19" ht="27.95" customHeight="1">
      <c r="N747" s="778"/>
      <c r="O747" s="778"/>
      <c r="P747" s="778"/>
      <c r="Q747" s="778"/>
      <c r="R747" s="778"/>
      <c r="S747" s="778"/>
    </row>
    <row r="748" spans="14:19" ht="27.95" customHeight="1">
      <c r="N748" s="778"/>
      <c r="O748" s="778"/>
      <c r="P748" s="778"/>
      <c r="Q748" s="778"/>
      <c r="R748" s="778"/>
      <c r="S748" s="778"/>
    </row>
    <row r="749" spans="14:19" ht="27.95" customHeight="1">
      <c r="N749" s="778"/>
      <c r="O749" s="778"/>
      <c r="P749" s="778"/>
      <c r="Q749" s="778"/>
      <c r="R749" s="778"/>
      <c r="S749" s="778"/>
    </row>
    <row r="750" spans="14:19" ht="27.95" customHeight="1">
      <c r="N750" s="778"/>
      <c r="O750" s="778"/>
      <c r="P750" s="778"/>
      <c r="Q750" s="778"/>
      <c r="R750" s="778"/>
      <c r="S750" s="778"/>
    </row>
    <row r="751" spans="14:19" ht="27.95" customHeight="1">
      <c r="N751" s="778"/>
      <c r="O751" s="778"/>
      <c r="P751" s="778"/>
      <c r="Q751" s="778"/>
      <c r="R751" s="778"/>
      <c r="S751" s="778"/>
    </row>
    <row r="752" spans="14:19" ht="27.95" customHeight="1">
      <c r="N752" s="778"/>
      <c r="O752" s="778"/>
      <c r="P752" s="778"/>
      <c r="Q752" s="778"/>
      <c r="R752" s="778"/>
      <c r="S752" s="778"/>
    </row>
    <row r="753" spans="14:19" ht="27.95" customHeight="1">
      <c r="N753" s="778"/>
      <c r="O753" s="778"/>
      <c r="P753" s="778"/>
      <c r="Q753" s="778"/>
      <c r="R753" s="778"/>
      <c r="S753" s="778"/>
    </row>
    <row r="754" spans="14:19" ht="27.95" customHeight="1">
      <c r="N754" s="778"/>
      <c r="O754" s="778"/>
      <c r="P754" s="778"/>
      <c r="Q754" s="778"/>
      <c r="R754" s="778"/>
      <c r="S754" s="778"/>
    </row>
    <row r="755" spans="14:19" ht="27.95" customHeight="1">
      <c r="N755" s="778"/>
      <c r="O755" s="778"/>
      <c r="P755" s="778"/>
      <c r="Q755" s="778"/>
      <c r="R755" s="778"/>
      <c r="S755" s="778"/>
    </row>
    <row r="756" spans="14:19" ht="27.95" customHeight="1">
      <c r="N756" s="778"/>
      <c r="O756" s="778"/>
      <c r="P756" s="778"/>
      <c r="Q756" s="778"/>
      <c r="R756" s="778"/>
      <c r="S756" s="778"/>
    </row>
    <row r="757" spans="14:19" ht="27.95" customHeight="1">
      <c r="N757" s="778"/>
      <c r="O757" s="778"/>
      <c r="P757" s="778"/>
      <c r="Q757" s="778"/>
      <c r="R757" s="778"/>
      <c r="S757" s="778"/>
    </row>
    <row r="758" spans="14:19" ht="27.95" customHeight="1">
      <c r="N758" s="778"/>
      <c r="O758" s="778"/>
      <c r="P758" s="778"/>
      <c r="Q758" s="778"/>
      <c r="R758" s="778"/>
      <c r="S758" s="778"/>
    </row>
    <row r="759" spans="14:19" ht="27.95" customHeight="1">
      <c r="N759" s="778"/>
      <c r="O759" s="778"/>
      <c r="P759" s="778"/>
      <c r="Q759" s="778"/>
      <c r="R759" s="778"/>
      <c r="S759" s="778"/>
    </row>
    <row r="760" spans="14:19" ht="27.95" customHeight="1">
      <c r="N760" s="778"/>
      <c r="O760" s="778"/>
      <c r="P760" s="778"/>
      <c r="Q760" s="778"/>
      <c r="R760" s="778"/>
      <c r="S760" s="778"/>
    </row>
    <row r="761" spans="14:19" ht="27.95" customHeight="1">
      <c r="N761" s="778"/>
      <c r="O761" s="778"/>
      <c r="P761" s="778"/>
      <c r="Q761" s="778"/>
      <c r="R761" s="778"/>
      <c r="S761" s="778"/>
    </row>
    <row r="762" spans="14:19" ht="27.95" customHeight="1">
      <c r="N762" s="778"/>
      <c r="O762" s="778"/>
      <c r="P762" s="778"/>
      <c r="Q762" s="778"/>
      <c r="R762" s="778"/>
      <c r="S762" s="778"/>
    </row>
    <row r="763" spans="14:19" ht="27.95" customHeight="1">
      <c r="N763" s="778"/>
      <c r="O763" s="778"/>
      <c r="P763" s="778"/>
      <c r="Q763" s="778"/>
      <c r="R763" s="778"/>
      <c r="S763" s="778"/>
    </row>
    <row r="764" spans="14:19" ht="27.95" customHeight="1">
      <c r="N764" s="778"/>
      <c r="O764" s="778"/>
      <c r="P764" s="778"/>
      <c r="Q764" s="778"/>
      <c r="R764" s="778"/>
      <c r="S764" s="778"/>
    </row>
    <row r="765" spans="14:19" ht="27.95" customHeight="1">
      <c r="N765" s="778"/>
      <c r="O765" s="778"/>
      <c r="P765" s="778"/>
      <c r="Q765" s="778"/>
      <c r="R765" s="778"/>
      <c r="S765" s="778"/>
    </row>
    <row r="766" spans="14:19" ht="27.95" customHeight="1">
      <c r="N766" s="778"/>
      <c r="O766" s="778"/>
      <c r="P766" s="778"/>
      <c r="Q766" s="778"/>
      <c r="R766" s="778"/>
      <c r="S766" s="778"/>
    </row>
    <row r="767" spans="14:19" ht="27.95" customHeight="1">
      <c r="N767" s="778"/>
      <c r="O767" s="778"/>
      <c r="P767" s="778"/>
      <c r="Q767" s="778"/>
      <c r="R767" s="778"/>
      <c r="S767" s="778"/>
    </row>
    <row r="768" spans="14:19" ht="27.95" customHeight="1">
      <c r="N768" s="778"/>
      <c r="O768" s="778"/>
      <c r="P768" s="778"/>
      <c r="Q768" s="778"/>
      <c r="R768" s="778"/>
      <c r="S768" s="778"/>
    </row>
    <row r="769" spans="14:19" ht="27.95" customHeight="1">
      <c r="N769" s="778"/>
      <c r="O769" s="778"/>
      <c r="P769" s="778"/>
      <c r="Q769" s="778"/>
      <c r="R769" s="778"/>
      <c r="S769" s="778"/>
    </row>
    <row r="770" spans="14:19" ht="27.95" customHeight="1">
      <c r="N770" s="778"/>
      <c r="O770" s="778"/>
      <c r="P770" s="778"/>
      <c r="Q770" s="778"/>
      <c r="R770" s="778"/>
      <c r="S770" s="778"/>
    </row>
    <row r="771" spans="14:19" ht="27.95" customHeight="1">
      <c r="N771" s="778"/>
      <c r="O771" s="778"/>
      <c r="P771" s="778"/>
      <c r="Q771" s="778"/>
      <c r="R771" s="778"/>
      <c r="S771" s="778"/>
    </row>
    <row r="772" spans="14:19" ht="27.95" customHeight="1">
      <c r="N772" s="778"/>
      <c r="O772" s="778"/>
      <c r="P772" s="778"/>
      <c r="Q772" s="778"/>
      <c r="R772" s="778"/>
      <c r="S772" s="778"/>
    </row>
    <row r="773" spans="14:19" ht="27.95" customHeight="1">
      <c r="N773" s="778"/>
      <c r="O773" s="778"/>
      <c r="P773" s="778"/>
      <c r="Q773" s="778"/>
      <c r="R773" s="778"/>
      <c r="S773" s="778"/>
    </row>
    <row r="774" spans="14:19" ht="27.95" customHeight="1">
      <c r="N774" s="778"/>
      <c r="O774" s="778"/>
      <c r="P774" s="778"/>
      <c r="Q774" s="778"/>
      <c r="R774" s="778"/>
      <c r="S774" s="778"/>
    </row>
    <row r="775" spans="14:19" ht="27.95" customHeight="1">
      <c r="N775" s="778"/>
      <c r="O775" s="778"/>
      <c r="P775" s="778"/>
      <c r="Q775" s="778"/>
      <c r="R775" s="778"/>
      <c r="S775" s="778"/>
    </row>
    <row r="776" spans="14:19" ht="27.95" customHeight="1">
      <c r="N776" s="778"/>
      <c r="O776" s="778"/>
      <c r="P776" s="778"/>
      <c r="Q776" s="778"/>
      <c r="R776" s="778"/>
      <c r="S776" s="778"/>
    </row>
    <row r="777" spans="14:19" ht="27.95" customHeight="1">
      <c r="N777" s="778"/>
      <c r="O777" s="778"/>
      <c r="P777" s="778"/>
      <c r="Q777" s="778"/>
      <c r="R777" s="778"/>
      <c r="S777" s="778"/>
    </row>
    <row r="778" spans="14:19" ht="27.95" customHeight="1">
      <c r="N778" s="778"/>
      <c r="O778" s="778"/>
      <c r="P778" s="778"/>
      <c r="Q778" s="778"/>
      <c r="R778" s="778"/>
      <c r="S778" s="778"/>
    </row>
    <row r="779" spans="14:19" ht="27.95" customHeight="1">
      <c r="N779" s="778"/>
      <c r="O779" s="778"/>
      <c r="P779" s="778"/>
      <c r="Q779" s="778"/>
      <c r="R779" s="778"/>
      <c r="S779" s="778"/>
    </row>
    <row r="780" spans="14:19" ht="27.95" customHeight="1">
      <c r="N780" s="778"/>
      <c r="O780" s="778"/>
      <c r="P780" s="778"/>
      <c r="Q780" s="778"/>
      <c r="R780" s="778"/>
      <c r="S780" s="778"/>
    </row>
    <row r="781" spans="14:19" ht="27.95" customHeight="1">
      <c r="N781" s="778"/>
      <c r="O781" s="778"/>
      <c r="P781" s="778"/>
      <c r="Q781" s="778"/>
      <c r="R781" s="778"/>
      <c r="S781" s="778"/>
    </row>
    <row r="782" spans="14:19" ht="27.95" customHeight="1">
      <c r="N782" s="778"/>
      <c r="O782" s="778"/>
      <c r="P782" s="778"/>
      <c r="Q782" s="778"/>
      <c r="R782" s="778"/>
      <c r="S782" s="778"/>
    </row>
    <row r="783" spans="14:19" ht="27.95" customHeight="1">
      <c r="N783" s="778"/>
      <c r="O783" s="778"/>
      <c r="P783" s="778"/>
      <c r="Q783" s="778"/>
      <c r="R783" s="778"/>
      <c r="S783" s="778"/>
    </row>
    <row r="784" spans="14:19" ht="27.95" customHeight="1">
      <c r="N784" s="778"/>
      <c r="O784" s="778"/>
      <c r="P784" s="778"/>
      <c r="Q784" s="778"/>
      <c r="R784" s="778"/>
      <c r="S784" s="778"/>
    </row>
    <row r="785" spans="14:19" ht="27.95" customHeight="1">
      <c r="N785" s="778"/>
      <c r="O785" s="778"/>
      <c r="P785" s="778"/>
      <c r="Q785" s="778"/>
      <c r="R785" s="778"/>
      <c r="S785" s="778"/>
    </row>
    <row r="786" spans="14:19" ht="27.95" customHeight="1">
      <c r="N786" s="778"/>
      <c r="O786" s="778"/>
      <c r="P786" s="778"/>
      <c r="Q786" s="778"/>
      <c r="R786" s="778"/>
      <c r="S786" s="778"/>
    </row>
    <row r="787" spans="14:19" ht="27.95" customHeight="1">
      <c r="N787" s="778"/>
      <c r="O787" s="778"/>
      <c r="P787" s="778"/>
      <c r="Q787" s="778"/>
      <c r="R787" s="778"/>
      <c r="S787" s="778"/>
    </row>
    <row r="788" spans="14:19" ht="27.95" customHeight="1">
      <c r="N788" s="778"/>
      <c r="O788" s="778"/>
      <c r="P788" s="778"/>
      <c r="Q788" s="778"/>
      <c r="R788" s="778"/>
      <c r="S788" s="778"/>
    </row>
    <row r="789" spans="14:19" ht="27.95" customHeight="1">
      <c r="N789" s="778"/>
      <c r="O789" s="778"/>
      <c r="P789" s="778"/>
      <c r="Q789" s="778"/>
      <c r="R789" s="778"/>
      <c r="S789" s="778"/>
    </row>
    <row r="790" spans="14:19" ht="27.95" customHeight="1">
      <c r="N790" s="778"/>
      <c r="O790" s="778"/>
      <c r="P790" s="778"/>
      <c r="Q790" s="778"/>
      <c r="R790" s="778"/>
      <c r="S790" s="778"/>
    </row>
    <row r="791" spans="14:19" ht="27.95" customHeight="1">
      <c r="N791" s="778"/>
      <c r="O791" s="778"/>
      <c r="P791" s="778"/>
      <c r="Q791" s="778"/>
      <c r="R791" s="778"/>
      <c r="S791" s="778"/>
    </row>
    <row r="792" spans="14:19" ht="27.95" customHeight="1">
      <c r="N792" s="778"/>
      <c r="O792" s="778"/>
      <c r="P792" s="778"/>
      <c r="Q792" s="778"/>
      <c r="R792" s="778"/>
      <c r="S792" s="778"/>
    </row>
    <row r="793" spans="14:19" ht="27.95" customHeight="1">
      <c r="N793" s="778"/>
      <c r="O793" s="778"/>
      <c r="P793" s="778"/>
      <c r="Q793" s="778"/>
      <c r="R793" s="778"/>
      <c r="S793" s="778"/>
    </row>
    <row r="794" spans="14:19" ht="27.95" customHeight="1">
      <c r="N794" s="778"/>
      <c r="O794" s="778"/>
      <c r="P794" s="778"/>
      <c r="Q794" s="778"/>
      <c r="R794" s="778"/>
      <c r="S794" s="778"/>
    </row>
    <row r="795" spans="14:19" ht="27.95" customHeight="1">
      <c r="N795" s="778"/>
      <c r="O795" s="778"/>
      <c r="P795" s="778"/>
      <c r="Q795" s="778"/>
      <c r="R795" s="778"/>
      <c r="S795" s="778"/>
    </row>
    <row r="796" spans="14:19" ht="27.95" customHeight="1">
      <c r="N796" s="778"/>
      <c r="O796" s="778"/>
      <c r="P796" s="778"/>
      <c r="Q796" s="778"/>
      <c r="R796" s="778"/>
      <c r="S796" s="778"/>
    </row>
    <row r="797" spans="14:19" ht="27.95" customHeight="1">
      <c r="N797" s="778"/>
      <c r="O797" s="778"/>
      <c r="P797" s="778"/>
      <c r="Q797" s="778"/>
      <c r="R797" s="778"/>
      <c r="S797" s="778"/>
    </row>
    <row r="798" spans="14:19" ht="27.95" customHeight="1">
      <c r="N798" s="778"/>
      <c r="O798" s="778"/>
      <c r="P798" s="778"/>
      <c r="Q798" s="778"/>
      <c r="R798" s="778"/>
      <c r="S798" s="778"/>
    </row>
    <row r="799" spans="14:19" ht="27.95" customHeight="1">
      <c r="N799" s="778"/>
      <c r="O799" s="778"/>
      <c r="P799" s="778"/>
      <c r="Q799" s="778"/>
      <c r="R799" s="778"/>
      <c r="S799" s="778"/>
    </row>
    <row r="800" spans="14:19" ht="27.95" customHeight="1">
      <c r="N800" s="778"/>
      <c r="O800" s="778"/>
      <c r="P800" s="778"/>
      <c r="Q800" s="778"/>
      <c r="R800" s="778"/>
      <c r="S800" s="778"/>
    </row>
    <row r="801" spans="14:19" ht="27.95" customHeight="1">
      <c r="N801" s="778"/>
      <c r="O801" s="778"/>
      <c r="P801" s="778"/>
      <c r="Q801" s="778"/>
      <c r="R801" s="778"/>
      <c r="S801" s="778"/>
    </row>
    <row r="802" spans="14:19" ht="27.95" customHeight="1">
      <c r="N802" s="778"/>
      <c r="O802" s="778"/>
      <c r="P802" s="778"/>
      <c r="Q802" s="778"/>
      <c r="R802" s="778"/>
      <c r="S802" s="778"/>
    </row>
    <row r="803" spans="14:19" ht="27.95" customHeight="1">
      <c r="N803" s="778"/>
      <c r="O803" s="778"/>
      <c r="P803" s="778"/>
      <c r="Q803" s="778"/>
      <c r="R803" s="778"/>
      <c r="S803" s="778"/>
    </row>
    <row r="804" spans="14:19" ht="27.95" customHeight="1">
      <c r="N804" s="778"/>
      <c r="O804" s="778"/>
      <c r="P804" s="778"/>
      <c r="Q804" s="778"/>
      <c r="R804" s="778"/>
      <c r="S804" s="778"/>
    </row>
    <row r="805" spans="14:19" ht="27.95" customHeight="1">
      <c r="N805" s="778"/>
      <c r="O805" s="778"/>
      <c r="P805" s="778"/>
      <c r="Q805" s="778"/>
      <c r="R805" s="778"/>
      <c r="S805" s="778"/>
    </row>
    <row r="806" spans="14:19" ht="27.95" customHeight="1">
      <c r="N806" s="778"/>
      <c r="O806" s="778"/>
      <c r="P806" s="778"/>
      <c r="Q806" s="778"/>
      <c r="R806" s="778"/>
      <c r="S806" s="778"/>
    </row>
    <row r="807" spans="14:19" ht="27.95" customHeight="1">
      <c r="N807" s="778"/>
      <c r="O807" s="778"/>
      <c r="P807" s="778"/>
      <c r="Q807" s="778"/>
      <c r="R807" s="778"/>
      <c r="S807" s="778"/>
    </row>
    <row r="808" spans="14:19" ht="27.95" customHeight="1">
      <c r="N808" s="778"/>
      <c r="O808" s="778"/>
      <c r="P808" s="778"/>
      <c r="Q808" s="778"/>
      <c r="R808" s="778"/>
      <c r="S808" s="778"/>
    </row>
    <row r="809" spans="14:19" ht="27.95" customHeight="1">
      <c r="N809" s="778"/>
      <c r="O809" s="778"/>
      <c r="P809" s="778"/>
      <c r="Q809" s="778"/>
      <c r="R809" s="778"/>
      <c r="S809" s="778"/>
    </row>
    <row r="810" spans="14:19" ht="27.95" customHeight="1">
      <c r="N810" s="778"/>
      <c r="O810" s="778"/>
      <c r="P810" s="778"/>
      <c r="Q810" s="778"/>
      <c r="R810" s="778"/>
      <c r="S810" s="778"/>
    </row>
    <row r="811" spans="14:19" ht="27.95" customHeight="1">
      <c r="N811" s="778"/>
      <c r="O811" s="778"/>
      <c r="P811" s="778"/>
      <c r="Q811" s="778"/>
      <c r="R811" s="778"/>
      <c r="S811" s="778"/>
    </row>
    <row r="812" spans="14:19" ht="27.95" customHeight="1">
      <c r="N812" s="778"/>
      <c r="O812" s="778"/>
      <c r="P812" s="778"/>
      <c r="Q812" s="778"/>
      <c r="R812" s="778"/>
      <c r="S812" s="778"/>
    </row>
    <row r="813" spans="14:19" ht="27.95" customHeight="1">
      <c r="N813" s="778"/>
      <c r="O813" s="778"/>
      <c r="P813" s="778"/>
      <c r="Q813" s="778"/>
      <c r="R813" s="778"/>
      <c r="S813" s="778"/>
    </row>
    <row r="814" spans="14:19" ht="27.95" customHeight="1">
      <c r="N814" s="778"/>
      <c r="O814" s="778"/>
      <c r="P814" s="778"/>
      <c r="Q814" s="778"/>
      <c r="R814" s="778"/>
      <c r="S814" s="778"/>
    </row>
    <row r="815" spans="14:19" ht="27.95" customHeight="1">
      <c r="N815" s="778"/>
      <c r="O815" s="778"/>
      <c r="P815" s="778"/>
      <c r="Q815" s="778"/>
      <c r="R815" s="778"/>
      <c r="S815" s="778"/>
    </row>
    <row r="816" spans="14:19" ht="27.95" customHeight="1">
      <c r="N816" s="778"/>
      <c r="O816" s="778"/>
      <c r="P816" s="778"/>
      <c r="Q816" s="778"/>
      <c r="R816" s="778"/>
      <c r="S816" s="778"/>
    </row>
    <row r="817" spans="14:19" ht="27.95" customHeight="1">
      <c r="N817" s="778"/>
      <c r="O817" s="778"/>
      <c r="P817" s="778"/>
      <c r="Q817" s="778"/>
      <c r="R817" s="778"/>
      <c r="S817" s="778"/>
    </row>
    <row r="818" spans="14:19" ht="27.95" customHeight="1">
      <c r="N818" s="778"/>
      <c r="O818" s="778"/>
      <c r="P818" s="778"/>
      <c r="Q818" s="778"/>
      <c r="R818" s="778"/>
      <c r="S818" s="778"/>
    </row>
    <row r="819" spans="14:19" ht="27.95" customHeight="1">
      <c r="N819" s="778"/>
      <c r="O819" s="778"/>
      <c r="P819" s="778"/>
      <c r="Q819" s="778"/>
      <c r="R819" s="778"/>
      <c r="S819" s="778"/>
    </row>
    <row r="820" spans="14:19" ht="27.95" customHeight="1">
      <c r="N820" s="778"/>
      <c r="O820" s="778"/>
      <c r="P820" s="778"/>
      <c r="Q820" s="778"/>
      <c r="R820" s="778"/>
      <c r="S820" s="778"/>
    </row>
    <row r="821" spans="14:19" ht="27.95" customHeight="1">
      <c r="N821" s="778"/>
      <c r="O821" s="778"/>
      <c r="P821" s="778"/>
      <c r="Q821" s="778"/>
      <c r="R821" s="778"/>
      <c r="S821" s="778"/>
    </row>
    <row r="822" spans="14:19" ht="27.95" customHeight="1">
      <c r="N822" s="778"/>
      <c r="O822" s="778"/>
      <c r="P822" s="778"/>
      <c r="Q822" s="778"/>
      <c r="R822" s="778"/>
      <c r="S822" s="778"/>
    </row>
    <row r="823" spans="14:19" ht="27.95" customHeight="1">
      <c r="N823" s="778"/>
      <c r="O823" s="778"/>
      <c r="P823" s="778"/>
      <c r="Q823" s="778"/>
      <c r="R823" s="778"/>
      <c r="S823" s="778"/>
    </row>
    <row r="824" spans="14:19" ht="27.95" customHeight="1">
      <c r="N824" s="778"/>
      <c r="O824" s="778"/>
      <c r="P824" s="778"/>
      <c r="Q824" s="778"/>
      <c r="R824" s="778"/>
      <c r="S824" s="778"/>
    </row>
    <row r="825" spans="14:19" ht="27.95" customHeight="1">
      <c r="N825" s="778"/>
      <c r="O825" s="778"/>
      <c r="P825" s="778"/>
      <c r="Q825" s="778"/>
      <c r="R825" s="778"/>
      <c r="S825" s="778"/>
    </row>
    <row r="826" spans="14:19" ht="27.95" customHeight="1">
      <c r="N826" s="778"/>
      <c r="O826" s="778"/>
      <c r="P826" s="778"/>
      <c r="Q826" s="778"/>
      <c r="R826" s="778"/>
      <c r="S826" s="778"/>
    </row>
    <row r="827" spans="14:19" ht="27.95" customHeight="1">
      <c r="N827" s="778"/>
      <c r="O827" s="778"/>
      <c r="P827" s="778"/>
      <c r="Q827" s="778"/>
      <c r="R827" s="778"/>
      <c r="S827" s="778"/>
    </row>
    <row r="828" spans="14:19" ht="27.95" customHeight="1">
      <c r="N828" s="778"/>
      <c r="O828" s="778"/>
      <c r="P828" s="778"/>
      <c r="Q828" s="778"/>
      <c r="R828" s="778"/>
      <c r="S828" s="778"/>
    </row>
    <row r="829" spans="14:19" ht="27.95" customHeight="1">
      <c r="N829" s="778"/>
      <c r="O829" s="778"/>
      <c r="P829" s="778"/>
      <c r="Q829" s="778"/>
      <c r="R829" s="778"/>
      <c r="S829" s="778"/>
    </row>
    <row r="830" spans="14:19" ht="27.95" customHeight="1">
      <c r="N830" s="778"/>
      <c r="O830" s="778"/>
      <c r="P830" s="778"/>
      <c r="Q830" s="778"/>
      <c r="R830" s="778"/>
      <c r="S830" s="778"/>
    </row>
    <row r="831" spans="14:19" ht="27.95" customHeight="1">
      <c r="N831" s="778"/>
      <c r="O831" s="778"/>
      <c r="P831" s="778"/>
      <c r="Q831" s="778"/>
      <c r="R831" s="778"/>
      <c r="S831" s="778"/>
    </row>
    <row r="832" spans="14:19" ht="27.95" customHeight="1">
      <c r="N832" s="778"/>
      <c r="O832" s="778"/>
      <c r="P832" s="778"/>
      <c r="Q832" s="778"/>
      <c r="R832" s="778"/>
      <c r="S832" s="778"/>
    </row>
    <row r="833" spans="14:19" ht="27.95" customHeight="1">
      <c r="N833" s="778"/>
      <c r="O833" s="778"/>
      <c r="P833" s="778"/>
      <c r="Q833" s="778"/>
      <c r="R833" s="778"/>
      <c r="S833" s="778"/>
    </row>
    <row r="834" spans="14:19" ht="27.95" customHeight="1">
      <c r="N834" s="778"/>
      <c r="O834" s="778"/>
      <c r="P834" s="778"/>
      <c r="Q834" s="778"/>
      <c r="R834" s="778"/>
      <c r="S834" s="778"/>
    </row>
    <row r="835" spans="14:19" ht="27.95" customHeight="1">
      <c r="N835" s="778"/>
      <c r="O835" s="778"/>
      <c r="P835" s="778"/>
      <c r="Q835" s="778"/>
      <c r="R835" s="778"/>
      <c r="S835" s="778"/>
    </row>
    <row r="836" spans="14:19" ht="27.95" customHeight="1">
      <c r="N836" s="778"/>
      <c r="O836" s="778"/>
      <c r="P836" s="778"/>
      <c r="Q836" s="778"/>
      <c r="R836" s="778"/>
      <c r="S836" s="778"/>
    </row>
    <row r="837" spans="14:19" ht="27.95" customHeight="1">
      <c r="N837" s="778"/>
      <c r="O837" s="778"/>
      <c r="P837" s="778"/>
      <c r="Q837" s="778"/>
      <c r="R837" s="778"/>
      <c r="S837" s="778"/>
    </row>
    <row r="838" spans="14:19" ht="27.95" customHeight="1">
      <c r="N838" s="778"/>
      <c r="O838" s="778"/>
      <c r="P838" s="778"/>
      <c r="Q838" s="778"/>
      <c r="R838" s="778"/>
      <c r="S838" s="778"/>
    </row>
    <row r="839" spans="14:19" ht="27.95" customHeight="1">
      <c r="N839" s="778"/>
      <c r="O839" s="778"/>
      <c r="P839" s="778"/>
      <c r="Q839" s="778"/>
      <c r="R839" s="778"/>
      <c r="S839" s="778"/>
    </row>
    <row r="840" spans="14:19" ht="27.95" customHeight="1">
      <c r="N840" s="778"/>
      <c r="O840" s="778"/>
      <c r="P840" s="778"/>
      <c r="Q840" s="778"/>
      <c r="R840" s="778"/>
      <c r="S840" s="778"/>
    </row>
    <row r="841" spans="14:19" ht="27.95" customHeight="1">
      <c r="N841" s="778"/>
      <c r="O841" s="778"/>
      <c r="P841" s="778"/>
      <c r="Q841" s="778"/>
      <c r="R841" s="778"/>
      <c r="S841" s="778"/>
    </row>
    <row r="842" spans="14:19" ht="27.95" customHeight="1">
      <c r="N842" s="778"/>
      <c r="O842" s="778"/>
      <c r="P842" s="778"/>
      <c r="Q842" s="778"/>
      <c r="R842" s="778"/>
      <c r="S842" s="778"/>
    </row>
    <row r="843" spans="14:19" ht="27.95" customHeight="1">
      <c r="N843" s="778"/>
      <c r="O843" s="778"/>
      <c r="P843" s="778"/>
      <c r="Q843" s="778"/>
      <c r="R843" s="778"/>
      <c r="S843" s="778"/>
    </row>
    <row r="844" spans="14:19" ht="27.95" customHeight="1">
      <c r="N844" s="778"/>
      <c r="O844" s="778"/>
      <c r="P844" s="778"/>
      <c r="Q844" s="778"/>
      <c r="R844" s="778"/>
      <c r="S844" s="778"/>
    </row>
    <row r="845" spans="14:19" ht="27.95" customHeight="1">
      <c r="N845" s="778"/>
      <c r="O845" s="778"/>
      <c r="P845" s="778"/>
      <c r="Q845" s="778"/>
      <c r="R845" s="778"/>
      <c r="S845" s="778"/>
    </row>
    <row r="846" spans="14:19" ht="27.95" customHeight="1">
      <c r="N846" s="778"/>
      <c r="O846" s="778"/>
      <c r="P846" s="778"/>
      <c r="Q846" s="778"/>
      <c r="R846" s="778"/>
      <c r="S846" s="778"/>
    </row>
    <row r="847" spans="14:19" ht="27.95" customHeight="1">
      <c r="N847" s="778"/>
      <c r="O847" s="778"/>
      <c r="P847" s="778"/>
      <c r="Q847" s="778"/>
      <c r="R847" s="778"/>
      <c r="S847" s="778"/>
    </row>
    <row r="848" spans="14:19" ht="27.95" customHeight="1">
      <c r="N848" s="778"/>
      <c r="O848" s="778"/>
      <c r="P848" s="778"/>
      <c r="Q848" s="778"/>
      <c r="R848" s="778"/>
      <c r="S848" s="778"/>
    </row>
    <row r="849" spans="14:19" ht="27.95" customHeight="1">
      <c r="N849" s="778"/>
      <c r="O849" s="778"/>
      <c r="P849" s="778"/>
      <c r="Q849" s="778"/>
      <c r="R849" s="778"/>
      <c r="S849" s="778"/>
    </row>
    <row r="850" spans="14:19" ht="27.95" customHeight="1">
      <c r="N850" s="778"/>
      <c r="O850" s="778"/>
      <c r="P850" s="778"/>
      <c r="Q850" s="778"/>
      <c r="R850" s="778"/>
      <c r="S850" s="778"/>
    </row>
    <row r="851" spans="14:19" ht="27.95" customHeight="1">
      <c r="N851" s="778"/>
      <c r="O851" s="778"/>
      <c r="P851" s="778"/>
      <c r="Q851" s="778"/>
      <c r="R851" s="778"/>
      <c r="S851" s="778"/>
    </row>
    <row r="852" spans="14:19" ht="27.95" customHeight="1">
      <c r="N852" s="778"/>
      <c r="O852" s="778"/>
      <c r="P852" s="778"/>
      <c r="Q852" s="778"/>
      <c r="R852" s="778"/>
      <c r="S852" s="778"/>
    </row>
    <row r="853" spans="14:19" ht="27.95" customHeight="1">
      <c r="N853" s="778"/>
      <c r="O853" s="778"/>
      <c r="P853" s="778"/>
      <c r="Q853" s="778"/>
      <c r="R853" s="778"/>
      <c r="S853" s="778"/>
    </row>
    <row r="854" spans="14:19" ht="27.95" customHeight="1">
      <c r="N854" s="778"/>
      <c r="O854" s="778"/>
      <c r="P854" s="778"/>
      <c r="Q854" s="778"/>
      <c r="R854" s="778"/>
      <c r="S854" s="778"/>
    </row>
    <row r="855" spans="14:19" ht="27.95" customHeight="1">
      <c r="N855" s="778"/>
      <c r="O855" s="778"/>
      <c r="P855" s="778"/>
      <c r="Q855" s="778"/>
      <c r="R855" s="778"/>
      <c r="S855" s="778"/>
    </row>
    <row r="856" spans="14:19" ht="27.95" customHeight="1">
      <c r="N856" s="778"/>
      <c r="O856" s="778"/>
      <c r="P856" s="778"/>
      <c r="Q856" s="778"/>
      <c r="R856" s="778"/>
      <c r="S856" s="778"/>
    </row>
    <row r="857" spans="14:19" ht="27.95" customHeight="1">
      <c r="N857" s="778"/>
      <c r="O857" s="778"/>
      <c r="P857" s="778"/>
      <c r="Q857" s="778"/>
      <c r="R857" s="778"/>
      <c r="S857" s="778"/>
    </row>
    <row r="858" spans="14:19" ht="27.95" customHeight="1">
      <c r="N858" s="778"/>
      <c r="O858" s="778"/>
      <c r="P858" s="778"/>
      <c r="Q858" s="778"/>
      <c r="R858" s="778"/>
      <c r="S858" s="778"/>
    </row>
    <row r="859" spans="14:19" ht="27.95" customHeight="1">
      <c r="N859" s="778"/>
      <c r="O859" s="778"/>
      <c r="P859" s="778"/>
      <c r="Q859" s="778"/>
      <c r="R859" s="778"/>
      <c r="S859" s="778"/>
    </row>
    <row r="860" spans="14:19" ht="27.95" customHeight="1">
      <c r="N860" s="778"/>
      <c r="O860" s="778"/>
      <c r="P860" s="778"/>
      <c r="Q860" s="778"/>
      <c r="R860" s="778"/>
      <c r="S860" s="778"/>
    </row>
    <row r="861" spans="14:19" ht="27.95" customHeight="1">
      <c r="N861" s="778"/>
      <c r="O861" s="778"/>
      <c r="P861" s="778"/>
      <c r="Q861" s="778"/>
      <c r="R861" s="778"/>
      <c r="S861" s="778"/>
    </row>
    <row r="862" spans="14:19" ht="27.95" customHeight="1">
      <c r="N862" s="778"/>
      <c r="O862" s="778"/>
      <c r="P862" s="778"/>
      <c r="Q862" s="778"/>
      <c r="R862" s="778"/>
      <c r="S862" s="778"/>
    </row>
    <row r="863" spans="14:19" ht="27.95" customHeight="1">
      <c r="N863" s="778"/>
      <c r="O863" s="778"/>
      <c r="P863" s="778"/>
      <c r="Q863" s="778"/>
      <c r="R863" s="778"/>
      <c r="S863" s="778"/>
    </row>
    <row r="864" spans="14:19" ht="27.95" customHeight="1">
      <c r="N864" s="778"/>
      <c r="O864" s="778"/>
      <c r="P864" s="778"/>
      <c r="Q864" s="778"/>
      <c r="R864" s="778"/>
      <c r="S864" s="778"/>
    </row>
    <row r="865" spans="14:19" ht="27.95" customHeight="1">
      <c r="N865" s="778"/>
      <c r="O865" s="778"/>
      <c r="P865" s="778"/>
      <c r="Q865" s="778"/>
      <c r="R865" s="778"/>
      <c r="S865" s="778"/>
    </row>
    <row r="866" spans="14:19" ht="27.95" customHeight="1">
      <c r="N866" s="778"/>
      <c r="O866" s="778"/>
      <c r="P866" s="778"/>
      <c r="Q866" s="778"/>
      <c r="R866" s="778"/>
      <c r="S866" s="778"/>
    </row>
    <row r="867" spans="14:19" ht="27.95" customHeight="1">
      <c r="N867" s="778"/>
      <c r="O867" s="778"/>
      <c r="P867" s="778"/>
      <c r="Q867" s="778"/>
      <c r="R867" s="778"/>
      <c r="S867" s="778"/>
    </row>
    <row r="868" spans="14:19" ht="27.95" customHeight="1">
      <c r="N868" s="778"/>
      <c r="O868" s="778"/>
      <c r="P868" s="778"/>
      <c r="Q868" s="778"/>
      <c r="R868" s="778"/>
      <c r="S868" s="778"/>
    </row>
    <row r="869" spans="14:19" ht="27.95" customHeight="1">
      <c r="N869" s="778"/>
      <c r="O869" s="778"/>
      <c r="P869" s="778"/>
      <c r="Q869" s="778"/>
      <c r="R869" s="778"/>
      <c r="S869" s="778"/>
    </row>
    <row r="870" spans="14:19" ht="27.95" customHeight="1">
      <c r="N870" s="778"/>
      <c r="O870" s="778"/>
      <c r="P870" s="778"/>
      <c r="Q870" s="778"/>
      <c r="R870" s="778"/>
      <c r="S870" s="778"/>
    </row>
    <row r="871" spans="14:19" ht="27.95" customHeight="1">
      <c r="N871" s="778"/>
      <c r="O871" s="778"/>
      <c r="P871" s="778"/>
      <c r="Q871" s="778"/>
      <c r="R871" s="778"/>
      <c r="S871" s="778"/>
    </row>
    <row r="872" spans="14:19" ht="27.95" customHeight="1">
      <c r="N872" s="778"/>
      <c r="O872" s="778"/>
      <c r="P872" s="778"/>
      <c r="Q872" s="778"/>
      <c r="R872" s="778"/>
      <c r="S872" s="778"/>
    </row>
    <row r="873" spans="14:19" ht="27.95" customHeight="1">
      <c r="N873" s="778"/>
      <c r="O873" s="778"/>
      <c r="P873" s="778"/>
      <c r="Q873" s="778"/>
      <c r="R873" s="778"/>
      <c r="S873" s="778"/>
    </row>
    <row r="874" spans="14:19" ht="27.95" customHeight="1">
      <c r="N874" s="778"/>
      <c r="O874" s="778"/>
      <c r="P874" s="778"/>
      <c r="Q874" s="778"/>
      <c r="R874" s="778"/>
      <c r="S874" s="778"/>
    </row>
    <row r="875" spans="14:19" ht="27.95" customHeight="1">
      <c r="N875" s="778"/>
      <c r="O875" s="778"/>
      <c r="P875" s="778"/>
      <c r="Q875" s="778"/>
      <c r="R875" s="778"/>
      <c r="S875" s="778"/>
    </row>
    <row r="876" spans="14:19" ht="27.95" customHeight="1">
      <c r="N876" s="778"/>
      <c r="O876" s="778"/>
      <c r="P876" s="778"/>
      <c r="Q876" s="778"/>
      <c r="R876" s="778"/>
      <c r="S876" s="778"/>
    </row>
    <row r="877" spans="14:19" ht="27.95" customHeight="1">
      <c r="N877" s="778"/>
      <c r="O877" s="778"/>
      <c r="P877" s="778"/>
      <c r="Q877" s="778"/>
      <c r="R877" s="778"/>
      <c r="S877" s="778"/>
    </row>
    <row r="878" spans="14:19" ht="27.95" customHeight="1">
      <c r="N878" s="778"/>
      <c r="O878" s="778"/>
      <c r="P878" s="778"/>
      <c r="Q878" s="778"/>
      <c r="R878" s="778"/>
      <c r="S878" s="778"/>
    </row>
    <row r="879" spans="14:19" ht="27.95" customHeight="1">
      <c r="N879" s="778"/>
      <c r="O879" s="778"/>
      <c r="P879" s="778"/>
      <c r="Q879" s="778"/>
      <c r="R879" s="778"/>
      <c r="S879" s="778"/>
    </row>
    <row r="880" spans="14:19" ht="27.95" customHeight="1">
      <c r="N880" s="778"/>
      <c r="O880" s="778"/>
      <c r="P880" s="778"/>
      <c r="Q880" s="778"/>
      <c r="R880" s="778"/>
      <c r="S880" s="778"/>
    </row>
    <row r="881" spans="14:19" ht="27.95" customHeight="1">
      <c r="N881" s="778"/>
      <c r="O881" s="778"/>
      <c r="P881" s="778"/>
      <c r="Q881" s="778"/>
      <c r="R881" s="778"/>
      <c r="S881" s="778"/>
    </row>
    <row r="882" spans="14:19" ht="27.95" customHeight="1">
      <c r="N882" s="778"/>
      <c r="O882" s="778"/>
      <c r="P882" s="778"/>
      <c r="Q882" s="778"/>
      <c r="R882" s="778"/>
      <c r="S882" s="778"/>
    </row>
    <row r="883" spans="14:19" ht="27.95" customHeight="1">
      <c r="N883" s="778"/>
      <c r="O883" s="778"/>
      <c r="P883" s="778"/>
      <c r="Q883" s="778"/>
      <c r="R883" s="778"/>
      <c r="S883" s="778"/>
    </row>
    <row r="884" spans="14:19" ht="27.95" customHeight="1">
      <c r="N884" s="778"/>
      <c r="O884" s="778"/>
      <c r="P884" s="778"/>
      <c r="Q884" s="778"/>
      <c r="R884" s="778"/>
      <c r="S884" s="778"/>
    </row>
    <row r="885" spans="14:19" ht="27.95" customHeight="1">
      <c r="N885" s="778"/>
      <c r="O885" s="778"/>
      <c r="P885" s="778"/>
      <c r="Q885" s="778"/>
      <c r="R885" s="778"/>
      <c r="S885" s="778"/>
    </row>
    <row r="886" spans="14:19" ht="27.95" customHeight="1">
      <c r="N886" s="778"/>
      <c r="O886" s="778"/>
      <c r="P886" s="778"/>
      <c r="Q886" s="778"/>
      <c r="R886" s="778"/>
      <c r="S886" s="778"/>
    </row>
    <row r="887" spans="14:19" ht="27.95" customHeight="1">
      <c r="N887" s="778"/>
      <c r="O887" s="778"/>
      <c r="P887" s="778"/>
      <c r="Q887" s="778"/>
      <c r="R887" s="778"/>
      <c r="S887" s="778"/>
    </row>
    <row r="888" spans="14:19" ht="27.95" customHeight="1">
      <c r="N888" s="778"/>
      <c r="O888" s="778"/>
      <c r="P888" s="778"/>
      <c r="Q888" s="778"/>
      <c r="R888" s="778"/>
      <c r="S888" s="778"/>
    </row>
    <row r="889" spans="14:19" ht="27.95" customHeight="1">
      <c r="N889" s="778"/>
      <c r="O889" s="778"/>
      <c r="P889" s="778"/>
      <c r="Q889" s="778"/>
      <c r="R889" s="778"/>
      <c r="S889" s="778"/>
    </row>
    <row r="890" spans="14:19" ht="27.95" customHeight="1">
      <c r="N890" s="778"/>
      <c r="O890" s="778"/>
      <c r="P890" s="778"/>
      <c r="Q890" s="778"/>
      <c r="R890" s="778"/>
      <c r="S890" s="778"/>
    </row>
    <row r="891" spans="14:19" ht="27.95" customHeight="1">
      <c r="N891" s="778"/>
      <c r="O891" s="778"/>
      <c r="P891" s="778"/>
      <c r="Q891" s="778"/>
      <c r="R891" s="778"/>
      <c r="S891" s="778"/>
    </row>
    <row r="892" spans="14:19" ht="27.95" customHeight="1">
      <c r="N892" s="778"/>
      <c r="O892" s="778"/>
      <c r="P892" s="778"/>
      <c r="Q892" s="778"/>
      <c r="R892" s="778"/>
      <c r="S892" s="778"/>
    </row>
    <row r="893" spans="14:19" ht="27.95" customHeight="1">
      <c r="N893" s="778"/>
      <c r="O893" s="778"/>
      <c r="P893" s="778"/>
      <c r="Q893" s="778"/>
      <c r="R893" s="778"/>
      <c r="S893" s="778"/>
    </row>
    <row r="894" spans="14:19" ht="27.95" customHeight="1">
      <c r="N894" s="778"/>
      <c r="O894" s="778"/>
      <c r="P894" s="778"/>
      <c r="Q894" s="778"/>
      <c r="R894" s="778"/>
      <c r="S894" s="778"/>
    </row>
    <row r="895" spans="14:19" ht="27.95" customHeight="1">
      <c r="N895" s="778"/>
      <c r="O895" s="778"/>
      <c r="P895" s="778"/>
      <c r="Q895" s="778"/>
      <c r="R895" s="778"/>
      <c r="S895" s="778"/>
    </row>
    <row r="896" spans="14:19" ht="27.95" customHeight="1">
      <c r="N896" s="778"/>
      <c r="O896" s="778"/>
      <c r="P896" s="778"/>
      <c r="Q896" s="778"/>
      <c r="R896" s="778"/>
      <c r="S896" s="778"/>
    </row>
    <row r="897" spans="14:19" ht="27.95" customHeight="1">
      <c r="N897" s="778"/>
      <c r="O897" s="778"/>
      <c r="P897" s="778"/>
      <c r="Q897" s="778"/>
      <c r="R897" s="778"/>
      <c r="S897" s="778"/>
    </row>
    <row r="898" spans="14:19" ht="27.95" customHeight="1">
      <c r="N898" s="778"/>
      <c r="O898" s="778"/>
      <c r="P898" s="778"/>
      <c r="Q898" s="778"/>
      <c r="R898" s="778"/>
      <c r="S898" s="778"/>
    </row>
    <row r="899" spans="14:19" ht="27.95" customHeight="1">
      <c r="N899" s="778"/>
      <c r="O899" s="778"/>
      <c r="P899" s="778"/>
      <c r="Q899" s="778"/>
      <c r="R899" s="778"/>
      <c r="S899" s="778"/>
    </row>
    <row r="900" spans="14:19" ht="27.95" customHeight="1">
      <c r="N900" s="778"/>
      <c r="O900" s="778"/>
      <c r="P900" s="778"/>
      <c r="Q900" s="778"/>
      <c r="R900" s="778"/>
      <c r="S900" s="778"/>
    </row>
    <row r="901" spans="14:19" ht="27.95" customHeight="1">
      <c r="N901" s="778"/>
      <c r="O901" s="778"/>
      <c r="P901" s="778"/>
      <c r="Q901" s="778"/>
      <c r="R901" s="778"/>
      <c r="S901" s="778"/>
    </row>
    <row r="902" spans="14:19" ht="27.95" customHeight="1">
      <c r="N902" s="778"/>
      <c r="O902" s="778"/>
      <c r="P902" s="778"/>
      <c r="Q902" s="778"/>
      <c r="R902" s="778"/>
      <c r="S902" s="778"/>
    </row>
    <row r="903" spans="14:19" ht="27.95" customHeight="1">
      <c r="N903" s="778"/>
      <c r="O903" s="778"/>
      <c r="P903" s="778"/>
      <c r="Q903" s="778"/>
      <c r="R903" s="778"/>
      <c r="S903" s="778"/>
    </row>
    <row r="904" spans="14:19" ht="27.95" customHeight="1">
      <c r="N904" s="778"/>
      <c r="O904" s="778"/>
      <c r="P904" s="778"/>
      <c r="Q904" s="778"/>
      <c r="R904" s="778"/>
      <c r="S904" s="778"/>
    </row>
    <row r="905" spans="14:19" ht="27.95" customHeight="1">
      <c r="N905" s="778"/>
      <c r="O905" s="778"/>
      <c r="P905" s="778"/>
      <c r="Q905" s="778"/>
      <c r="R905" s="778"/>
      <c r="S905" s="778"/>
    </row>
    <row r="906" spans="14:19" ht="27.95" customHeight="1">
      <c r="N906" s="778"/>
      <c r="O906" s="778"/>
      <c r="P906" s="778"/>
      <c r="Q906" s="778"/>
      <c r="R906" s="778"/>
      <c r="S906" s="778"/>
    </row>
    <row r="907" spans="14:19" ht="27.95" customHeight="1">
      <c r="N907" s="778"/>
      <c r="O907" s="778"/>
      <c r="P907" s="778"/>
      <c r="Q907" s="778"/>
      <c r="R907" s="778"/>
      <c r="S907" s="778"/>
    </row>
    <row r="908" spans="14:19" ht="27.95" customHeight="1">
      <c r="N908" s="778"/>
      <c r="O908" s="778"/>
      <c r="P908" s="778"/>
      <c r="Q908" s="778"/>
      <c r="R908" s="778"/>
      <c r="S908" s="778"/>
    </row>
    <row r="909" spans="14:19" ht="27.95" customHeight="1">
      <c r="N909" s="778"/>
      <c r="O909" s="778"/>
      <c r="P909" s="778"/>
      <c r="Q909" s="778"/>
      <c r="R909" s="778"/>
      <c r="S909" s="778"/>
    </row>
    <row r="910" spans="14:19" ht="27.95" customHeight="1">
      <c r="N910" s="778"/>
      <c r="O910" s="778"/>
      <c r="P910" s="778"/>
      <c r="Q910" s="778"/>
      <c r="R910" s="778"/>
      <c r="S910" s="778"/>
    </row>
    <row r="911" spans="14:19" ht="27.95" customHeight="1">
      <c r="N911" s="778"/>
      <c r="O911" s="778"/>
      <c r="P911" s="778"/>
      <c r="Q911" s="778"/>
      <c r="R911" s="778"/>
      <c r="S911" s="778"/>
    </row>
    <row r="912" spans="14:19" ht="27.95" customHeight="1">
      <c r="N912" s="778"/>
      <c r="O912" s="778"/>
      <c r="P912" s="778"/>
      <c r="Q912" s="778"/>
      <c r="R912" s="778"/>
      <c r="S912" s="778"/>
    </row>
    <row r="913" spans="14:19" ht="27.95" customHeight="1">
      <c r="N913" s="778"/>
      <c r="O913" s="778"/>
      <c r="P913" s="778"/>
      <c r="Q913" s="778"/>
      <c r="R913" s="778"/>
      <c r="S913" s="778"/>
    </row>
    <row r="914" spans="14:19" ht="27.95" customHeight="1">
      <c r="N914" s="778"/>
      <c r="O914" s="778"/>
      <c r="P914" s="778"/>
      <c r="Q914" s="778"/>
      <c r="R914" s="778"/>
      <c r="S914" s="778"/>
    </row>
    <row r="915" spans="14:19" ht="27.95" customHeight="1">
      <c r="N915" s="778"/>
      <c r="O915" s="778"/>
      <c r="P915" s="778"/>
      <c r="Q915" s="778"/>
      <c r="R915" s="778"/>
      <c r="S915" s="778"/>
    </row>
    <row r="916" spans="14:19" ht="27.95" customHeight="1">
      <c r="N916" s="778"/>
      <c r="O916" s="778"/>
      <c r="P916" s="778"/>
      <c r="Q916" s="778"/>
      <c r="R916" s="778"/>
      <c r="S916" s="778"/>
    </row>
    <row r="917" spans="14:19" ht="27.95" customHeight="1">
      <c r="N917" s="778"/>
      <c r="O917" s="778"/>
      <c r="P917" s="778"/>
      <c r="Q917" s="778"/>
      <c r="R917" s="778"/>
      <c r="S917" s="778"/>
    </row>
    <row r="918" spans="14:19" ht="27.95" customHeight="1">
      <c r="N918" s="778"/>
      <c r="O918" s="778"/>
      <c r="P918" s="778"/>
      <c r="Q918" s="778"/>
      <c r="R918" s="778"/>
      <c r="S918" s="778"/>
    </row>
    <row r="919" spans="14:19" ht="27.95" customHeight="1">
      <c r="N919" s="778"/>
      <c r="O919" s="778"/>
      <c r="P919" s="778"/>
      <c r="Q919" s="778"/>
      <c r="R919" s="778"/>
      <c r="S919" s="778"/>
    </row>
    <row r="920" spans="14:19" ht="27.95" customHeight="1">
      <c r="N920" s="778"/>
      <c r="O920" s="778"/>
      <c r="P920" s="778"/>
      <c r="Q920" s="778"/>
      <c r="R920" s="778"/>
      <c r="S920" s="778"/>
    </row>
    <row r="921" spans="14:19" ht="27.95" customHeight="1">
      <c r="N921" s="778"/>
      <c r="O921" s="778"/>
      <c r="P921" s="778"/>
      <c r="Q921" s="778"/>
      <c r="R921" s="778"/>
      <c r="S921" s="778"/>
    </row>
    <row r="922" spans="14:19" ht="27.95" customHeight="1">
      <c r="N922" s="778"/>
      <c r="O922" s="778"/>
      <c r="P922" s="778"/>
      <c r="Q922" s="778"/>
      <c r="R922" s="778"/>
      <c r="S922" s="778"/>
    </row>
    <row r="923" spans="14:19" ht="27.95" customHeight="1">
      <c r="N923" s="778"/>
      <c r="O923" s="778"/>
      <c r="P923" s="778"/>
      <c r="Q923" s="778"/>
      <c r="R923" s="778"/>
      <c r="S923" s="778"/>
    </row>
    <row r="924" spans="14:19" ht="27.95" customHeight="1">
      <c r="N924" s="778"/>
      <c r="O924" s="778"/>
      <c r="P924" s="778"/>
      <c r="Q924" s="778"/>
      <c r="R924" s="778"/>
      <c r="S924" s="778"/>
    </row>
    <row r="925" spans="14:19" ht="27.95" customHeight="1">
      <c r="N925" s="778"/>
      <c r="O925" s="778"/>
      <c r="P925" s="778"/>
      <c r="Q925" s="778"/>
      <c r="R925" s="778"/>
      <c r="S925" s="778"/>
    </row>
    <row r="926" spans="14:19" ht="27.95" customHeight="1">
      <c r="N926" s="778"/>
      <c r="O926" s="778"/>
      <c r="P926" s="778"/>
      <c r="Q926" s="778"/>
      <c r="R926" s="778"/>
      <c r="S926" s="778"/>
    </row>
    <row r="927" spans="14:19" ht="27.95" customHeight="1">
      <c r="N927" s="778"/>
      <c r="O927" s="778"/>
      <c r="P927" s="778"/>
      <c r="Q927" s="778"/>
      <c r="R927" s="778"/>
      <c r="S927" s="778"/>
    </row>
    <row r="928" spans="14:19" ht="27.95" customHeight="1">
      <c r="N928" s="778"/>
      <c r="O928" s="778"/>
      <c r="P928" s="778"/>
      <c r="Q928" s="778"/>
      <c r="R928" s="778"/>
      <c r="S928" s="778"/>
    </row>
    <row r="929" spans="14:19" ht="27.95" customHeight="1">
      <c r="N929" s="778"/>
      <c r="O929" s="778"/>
      <c r="P929" s="778"/>
      <c r="Q929" s="778"/>
      <c r="R929" s="778"/>
      <c r="S929" s="778"/>
    </row>
    <row r="930" spans="14:19" ht="27.95" customHeight="1">
      <c r="N930" s="778"/>
      <c r="O930" s="778"/>
      <c r="P930" s="778"/>
      <c r="Q930" s="778"/>
      <c r="R930" s="778"/>
      <c r="S930" s="778"/>
    </row>
    <row r="931" spans="14:19" ht="27.95" customHeight="1">
      <c r="N931" s="778"/>
      <c r="O931" s="778"/>
      <c r="P931" s="778"/>
      <c r="Q931" s="778"/>
      <c r="R931" s="778"/>
      <c r="S931" s="778"/>
    </row>
    <row r="932" spans="14:19" ht="27.95" customHeight="1">
      <c r="N932" s="778"/>
      <c r="O932" s="778"/>
      <c r="P932" s="778"/>
      <c r="Q932" s="778"/>
      <c r="R932" s="778"/>
      <c r="S932" s="778"/>
    </row>
    <row r="933" spans="14:19" ht="27.95" customHeight="1">
      <c r="N933" s="778"/>
      <c r="O933" s="778"/>
      <c r="P933" s="778"/>
      <c r="Q933" s="778"/>
      <c r="R933" s="778"/>
      <c r="S933" s="778"/>
    </row>
    <row r="934" spans="14:19" ht="27.95" customHeight="1">
      <c r="N934" s="778"/>
      <c r="O934" s="778"/>
      <c r="P934" s="778"/>
      <c r="Q934" s="778"/>
      <c r="R934" s="778"/>
      <c r="S934" s="778"/>
    </row>
    <row r="935" spans="14:19" ht="27.95" customHeight="1">
      <c r="N935" s="778"/>
      <c r="O935" s="778"/>
      <c r="P935" s="778"/>
      <c r="Q935" s="778"/>
      <c r="R935" s="778"/>
      <c r="S935" s="778"/>
    </row>
    <row r="936" spans="14:19" ht="27.95" customHeight="1">
      <c r="N936" s="778"/>
      <c r="O936" s="778"/>
      <c r="P936" s="778"/>
      <c r="Q936" s="778"/>
      <c r="R936" s="778"/>
      <c r="S936" s="778"/>
    </row>
    <row r="937" spans="14:19" ht="27.95" customHeight="1">
      <c r="N937" s="778"/>
      <c r="O937" s="778"/>
      <c r="P937" s="778"/>
      <c r="Q937" s="778"/>
      <c r="R937" s="778"/>
      <c r="S937" s="778"/>
    </row>
    <row r="938" spans="14:19" ht="27.95" customHeight="1">
      <c r="N938" s="778"/>
      <c r="O938" s="778"/>
      <c r="P938" s="778"/>
      <c r="Q938" s="778"/>
      <c r="R938" s="778"/>
      <c r="S938" s="778"/>
    </row>
    <row r="939" spans="14:19" ht="27.95" customHeight="1">
      <c r="N939" s="778"/>
      <c r="O939" s="778"/>
      <c r="P939" s="778"/>
      <c r="Q939" s="778"/>
      <c r="R939" s="778"/>
      <c r="S939" s="778"/>
    </row>
    <row r="940" spans="14:19" ht="27.95" customHeight="1">
      <c r="N940" s="778"/>
      <c r="O940" s="778"/>
      <c r="P940" s="778"/>
      <c r="Q940" s="778"/>
      <c r="R940" s="778"/>
      <c r="S940" s="778"/>
    </row>
    <row r="941" spans="14:19" ht="27.95" customHeight="1">
      <c r="N941" s="778"/>
      <c r="O941" s="778"/>
      <c r="P941" s="778"/>
      <c r="Q941" s="778"/>
      <c r="R941" s="778"/>
      <c r="S941" s="778"/>
    </row>
    <row r="942" spans="14:19" ht="27.95" customHeight="1">
      <c r="N942" s="778"/>
      <c r="O942" s="778"/>
      <c r="P942" s="778"/>
      <c r="Q942" s="778"/>
      <c r="R942" s="778"/>
      <c r="S942" s="778"/>
    </row>
    <row r="943" spans="14:19" ht="27.95" customHeight="1">
      <c r="N943" s="778"/>
      <c r="O943" s="778"/>
      <c r="P943" s="778"/>
      <c r="Q943" s="778"/>
      <c r="R943" s="778"/>
      <c r="S943" s="778"/>
    </row>
    <row r="944" spans="14:19" ht="27.95" customHeight="1">
      <c r="N944" s="778"/>
      <c r="O944" s="778"/>
      <c r="P944" s="778"/>
      <c r="Q944" s="778"/>
      <c r="R944" s="778"/>
      <c r="S944" s="778"/>
    </row>
    <row r="945" spans="14:19" ht="27.95" customHeight="1">
      <c r="N945" s="778"/>
      <c r="O945" s="778"/>
      <c r="P945" s="778"/>
      <c r="Q945" s="778"/>
      <c r="R945" s="778"/>
      <c r="S945" s="778"/>
    </row>
    <row r="946" spans="14:19" ht="27.95" customHeight="1">
      <c r="N946" s="778"/>
      <c r="O946" s="778"/>
      <c r="P946" s="778"/>
      <c r="Q946" s="778"/>
      <c r="R946" s="778"/>
      <c r="S946" s="778"/>
    </row>
    <row r="947" spans="14:19" ht="27.95" customHeight="1">
      <c r="N947" s="778"/>
      <c r="O947" s="778"/>
      <c r="P947" s="778"/>
      <c r="Q947" s="778"/>
      <c r="R947" s="778"/>
      <c r="S947" s="778"/>
    </row>
    <row r="948" spans="14:19" ht="27.95" customHeight="1">
      <c r="N948" s="778"/>
      <c r="O948" s="778"/>
      <c r="P948" s="778"/>
      <c r="Q948" s="778"/>
      <c r="R948" s="778"/>
      <c r="S948" s="778"/>
    </row>
    <row r="949" spans="14:19" ht="27.95" customHeight="1">
      <c r="N949" s="778"/>
      <c r="O949" s="778"/>
      <c r="P949" s="778"/>
      <c r="Q949" s="778"/>
      <c r="R949" s="778"/>
      <c r="S949" s="778"/>
    </row>
    <row r="950" spans="14:19" ht="27.95" customHeight="1">
      <c r="N950" s="778"/>
      <c r="O950" s="778"/>
      <c r="P950" s="778"/>
      <c r="Q950" s="778"/>
      <c r="R950" s="778"/>
      <c r="S950" s="778"/>
    </row>
    <row r="951" spans="14:19" ht="27.95" customHeight="1">
      <c r="N951" s="778"/>
      <c r="O951" s="778"/>
      <c r="P951" s="778"/>
      <c r="Q951" s="778"/>
      <c r="R951" s="778"/>
      <c r="S951" s="778"/>
    </row>
    <row r="952" spans="14:19" ht="27.95" customHeight="1">
      <c r="N952" s="778"/>
      <c r="O952" s="778"/>
      <c r="P952" s="778"/>
      <c r="Q952" s="778"/>
      <c r="R952" s="778"/>
      <c r="S952" s="778"/>
    </row>
    <row r="953" spans="14:19" ht="27.95" customHeight="1">
      <c r="N953" s="778"/>
      <c r="O953" s="778"/>
      <c r="P953" s="778"/>
      <c r="Q953" s="778"/>
      <c r="R953" s="778"/>
      <c r="S953" s="778"/>
    </row>
    <row r="954" spans="14:19" ht="27.95" customHeight="1">
      <c r="N954" s="778"/>
      <c r="O954" s="778"/>
      <c r="P954" s="778"/>
      <c r="Q954" s="778"/>
      <c r="R954" s="778"/>
      <c r="S954" s="778"/>
    </row>
    <row r="955" spans="14:19" ht="27.95" customHeight="1">
      <c r="N955" s="778"/>
      <c r="O955" s="778"/>
      <c r="P955" s="778"/>
      <c r="Q955" s="778"/>
      <c r="R955" s="778"/>
      <c r="S955" s="778"/>
    </row>
    <row r="956" spans="14:19" ht="27.95" customHeight="1">
      <c r="N956" s="778"/>
      <c r="O956" s="778"/>
      <c r="P956" s="778"/>
      <c r="Q956" s="778"/>
      <c r="R956" s="778"/>
      <c r="S956" s="778"/>
    </row>
    <row r="957" spans="14:19" ht="27.95" customHeight="1">
      <c r="N957" s="778"/>
      <c r="O957" s="778"/>
      <c r="P957" s="778"/>
      <c r="Q957" s="778"/>
      <c r="R957" s="778"/>
      <c r="S957" s="778"/>
    </row>
    <row r="958" spans="14:19" ht="27.95" customHeight="1">
      <c r="N958" s="778"/>
      <c r="O958" s="778"/>
      <c r="P958" s="778"/>
      <c r="Q958" s="778"/>
      <c r="R958" s="778"/>
      <c r="S958" s="778"/>
    </row>
    <row r="959" spans="14:19" ht="27.95" customHeight="1">
      <c r="N959" s="778"/>
      <c r="O959" s="778"/>
      <c r="P959" s="778"/>
      <c r="Q959" s="778"/>
      <c r="R959" s="778"/>
      <c r="S959" s="778"/>
    </row>
    <row r="960" spans="14:19" ht="27.95" customHeight="1">
      <c r="N960" s="778"/>
      <c r="O960" s="778"/>
      <c r="P960" s="778"/>
      <c r="Q960" s="778"/>
      <c r="R960" s="778"/>
      <c r="S960" s="778"/>
    </row>
    <row r="961" spans="14:19" ht="27.95" customHeight="1">
      <c r="N961" s="778"/>
      <c r="O961" s="778"/>
      <c r="P961" s="778"/>
      <c r="Q961" s="778"/>
      <c r="R961" s="778"/>
      <c r="S961" s="778"/>
    </row>
    <row r="962" spans="14:19" ht="27.95" customHeight="1">
      <c r="N962" s="778"/>
      <c r="O962" s="778"/>
      <c r="P962" s="778"/>
      <c r="Q962" s="778"/>
      <c r="R962" s="778"/>
      <c r="S962" s="778"/>
    </row>
    <row r="963" spans="14:19" ht="27.95" customHeight="1">
      <c r="N963" s="778"/>
      <c r="O963" s="778"/>
      <c r="P963" s="778"/>
      <c r="Q963" s="778"/>
      <c r="R963" s="778"/>
      <c r="S963" s="778"/>
    </row>
    <row r="964" spans="14:19" ht="27.95" customHeight="1">
      <c r="N964" s="778"/>
      <c r="O964" s="778"/>
      <c r="P964" s="778"/>
      <c r="Q964" s="778"/>
      <c r="R964" s="778"/>
      <c r="S964" s="778"/>
    </row>
    <row r="965" spans="14:19" ht="27.95" customHeight="1">
      <c r="N965" s="778"/>
      <c r="O965" s="778"/>
      <c r="P965" s="778"/>
      <c r="Q965" s="778"/>
      <c r="R965" s="778"/>
      <c r="S965" s="778"/>
    </row>
    <row r="966" spans="14:19" ht="27.95" customHeight="1">
      <c r="N966" s="778"/>
      <c r="O966" s="778"/>
      <c r="P966" s="778"/>
      <c r="Q966" s="778"/>
      <c r="R966" s="778"/>
      <c r="S966" s="778"/>
    </row>
    <row r="967" spans="14:19" ht="27.95" customHeight="1">
      <c r="N967" s="778"/>
      <c r="O967" s="778"/>
      <c r="P967" s="778"/>
      <c r="Q967" s="778"/>
      <c r="R967" s="778"/>
      <c r="S967" s="778"/>
    </row>
    <row r="968" spans="14:19" ht="27.95" customHeight="1">
      <c r="N968" s="778"/>
      <c r="O968" s="778"/>
      <c r="P968" s="778"/>
      <c r="Q968" s="778"/>
      <c r="R968" s="778"/>
      <c r="S968" s="778"/>
    </row>
    <row r="969" spans="14:19" ht="27.95" customHeight="1">
      <c r="N969" s="778"/>
      <c r="O969" s="778"/>
      <c r="P969" s="778"/>
      <c r="Q969" s="778"/>
      <c r="R969" s="778"/>
      <c r="S969" s="778"/>
    </row>
    <row r="970" spans="14:19" ht="27.95" customHeight="1">
      <c r="N970" s="778"/>
      <c r="O970" s="778"/>
      <c r="P970" s="778"/>
      <c r="Q970" s="778"/>
      <c r="R970" s="778"/>
      <c r="S970" s="778"/>
    </row>
    <row r="971" spans="14:19" ht="27.95" customHeight="1">
      <c r="N971" s="778"/>
      <c r="O971" s="778"/>
      <c r="P971" s="778"/>
      <c r="Q971" s="778"/>
      <c r="R971" s="778"/>
      <c r="S971" s="778"/>
    </row>
    <row r="972" spans="14:19" ht="27.95" customHeight="1">
      <c r="N972" s="778"/>
      <c r="O972" s="778"/>
      <c r="P972" s="778"/>
      <c r="Q972" s="778"/>
      <c r="R972" s="778"/>
      <c r="S972" s="778"/>
    </row>
    <row r="973" spans="14:19" ht="27.95" customHeight="1">
      <c r="N973" s="778"/>
      <c r="O973" s="778"/>
      <c r="P973" s="778"/>
      <c r="Q973" s="778"/>
      <c r="R973" s="778"/>
      <c r="S973" s="778"/>
    </row>
    <row r="974" spans="14:19" ht="27.95" customHeight="1">
      <c r="N974" s="778"/>
      <c r="O974" s="778"/>
      <c r="P974" s="778"/>
      <c r="Q974" s="778"/>
      <c r="R974" s="778"/>
      <c r="S974" s="778"/>
    </row>
    <row r="975" spans="14:19" ht="27.95" customHeight="1">
      <c r="N975" s="778"/>
      <c r="O975" s="778"/>
      <c r="P975" s="778"/>
      <c r="Q975" s="778"/>
      <c r="R975" s="778"/>
      <c r="S975" s="778"/>
    </row>
    <row r="976" spans="14:19" ht="27.95" customHeight="1">
      <c r="N976" s="778"/>
      <c r="O976" s="778"/>
      <c r="P976" s="778"/>
      <c r="Q976" s="778"/>
      <c r="R976" s="778"/>
      <c r="S976" s="778"/>
    </row>
    <row r="977" spans="14:19" ht="27.95" customHeight="1">
      <c r="N977" s="778"/>
      <c r="O977" s="778"/>
      <c r="P977" s="778"/>
      <c r="Q977" s="778"/>
      <c r="R977" s="778"/>
      <c r="S977" s="778"/>
    </row>
    <row r="978" spans="14:19" ht="27.95" customHeight="1">
      <c r="N978" s="778"/>
      <c r="O978" s="778"/>
      <c r="P978" s="778"/>
      <c r="Q978" s="778"/>
      <c r="R978" s="778"/>
      <c r="S978" s="778"/>
    </row>
    <row r="979" spans="14:19" ht="27.95" customHeight="1">
      <c r="N979" s="778"/>
      <c r="O979" s="778"/>
      <c r="P979" s="778"/>
      <c r="Q979" s="778"/>
      <c r="R979" s="778"/>
      <c r="S979" s="778"/>
    </row>
    <row r="980" spans="14:19" ht="27.95" customHeight="1">
      <c r="N980" s="778"/>
      <c r="O980" s="778"/>
      <c r="P980" s="778"/>
      <c r="Q980" s="778"/>
      <c r="R980" s="778"/>
      <c r="S980" s="778"/>
    </row>
    <row r="981" spans="14:19" ht="27.95" customHeight="1">
      <c r="N981" s="778"/>
      <c r="O981" s="778"/>
      <c r="P981" s="778"/>
      <c r="Q981" s="778"/>
      <c r="R981" s="778"/>
      <c r="S981" s="778"/>
    </row>
    <row r="982" spans="14:19" ht="27.95" customHeight="1">
      <c r="N982" s="778"/>
      <c r="O982" s="778"/>
      <c r="P982" s="778"/>
      <c r="Q982" s="778"/>
      <c r="R982" s="778"/>
      <c r="S982" s="778"/>
    </row>
    <row r="983" spans="14:19" ht="27.95" customHeight="1">
      <c r="N983" s="778"/>
      <c r="O983" s="778"/>
      <c r="P983" s="778"/>
      <c r="Q983" s="778"/>
      <c r="R983" s="778"/>
      <c r="S983" s="778"/>
    </row>
    <row r="984" spans="14:19" ht="27.95" customHeight="1">
      <c r="N984" s="778"/>
      <c r="O984" s="778"/>
      <c r="P984" s="778"/>
      <c r="Q984" s="778"/>
      <c r="R984" s="778"/>
      <c r="S984" s="778"/>
    </row>
    <row r="985" spans="14:19" ht="27.95" customHeight="1">
      <c r="N985" s="778"/>
      <c r="O985" s="778"/>
      <c r="P985" s="778"/>
      <c r="Q985" s="778"/>
      <c r="R985" s="778"/>
      <c r="S985" s="778"/>
    </row>
    <row r="986" spans="14:19" ht="27.95" customHeight="1">
      <c r="N986" s="778"/>
      <c r="O986" s="778"/>
      <c r="P986" s="778"/>
      <c r="Q986" s="778"/>
      <c r="R986" s="778"/>
      <c r="S986" s="778"/>
    </row>
    <row r="987" spans="14:19" ht="27.95" customHeight="1">
      <c r="N987" s="778"/>
      <c r="O987" s="778"/>
      <c r="P987" s="778"/>
      <c r="Q987" s="778"/>
      <c r="R987" s="778"/>
      <c r="S987" s="778"/>
    </row>
    <row r="988" spans="14:19" ht="27.95" customHeight="1">
      <c r="N988" s="778"/>
      <c r="O988" s="778"/>
      <c r="P988" s="778"/>
      <c r="Q988" s="778"/>
      <c r="R988" s="778"/>
      <c r="S988" s="778"/>
    </row>
    <row r="989" spans="14:19" ht="27.95" customHeight="1">
      <c r="N989" s="778"/>
      <c r="O989" s="778"/>
      <c r="P989" s="778"/>
      <c r="Q989" s="778"/>
      <c r="R989" s="778"/>
      <c r="S989" s="778"/>
    </row>
    <row r="990" spans="14:19" ht="27.95" customHeight="1">
      <c r="N990" s="778"/>
      <c r="O990" s="778"/>
      <c r="P990" s="778"/>
      <c r="Q990" s="778"/>
      <c r="R990" s="778"/>
      <c r="S990" s="778"/>
    </row>
    <row r="991" spans="14:19" ht="27.95" customHeight="1">
      <c r="N991" s="778"/>
      <c r="O991" s="778"/>
      <c r="P991" s="778"/>
      <c r="Q991" s="778"/>
      <c r="R991" s="778"/>
      <c r="S991" s="778"/>
    </row>
    <row r="992" spans="14:19" ht="27.95" customHeight="1">
      <c r="N992" s="778"/>
      <c r="O992" s="778"/>
      <c r="P992" s="778"/>
      <c r="Q992" s="778"/>
      <c r="R992" s="778"/>
      <c r="S992" s="778"/>
    </row>
    <row r="993" spans="14:19" ht="27.95" customHeight="1">
      <c r="N993" s="778"/>
      <c r="O993" s="778"/>
      <c r="P993" s="778"/>
      <c r="Q993" s="778"/>
      <c r="R993" s="778"/>
      <c r="S993" s="778"/>
    </row>
    <row r="994" spans="14:19" ht="27.95" customHeight="1">
      <c r="N994" s="778"/>
      <c r="O994" s="778"/>
      <c r="P994" s="778"/>
      <c r="Q994" s="778"/>
      <c r="R994" s="778"/>
      <c r="S994" s="778"/>
    </row>
    <row r="995" spans="14:19" ht="27.95" customHeight="1">
      <c r="N995" s="778"/>
      <c r="O995" s="778"/>
      <c r="P995" s="778"/>
      <c r="Q995" s="778"/>
      <c r="R995" s="778"/>
      <c r="S995" s="778"/>
    </row>
    <row r="996" spans="14:19" ht="27.95" customHeight="1">
      <c r="N996" s="778"/>
      <c r="O996" s="778"/>
      <c r="P996" s="778"/>
      <c r="Q996" s="778"/>
      <c r="R996" s="778"/>
      <c r="S996" s="778"/>
    </row>
    <row r="997" spans="14:19" ht="27.95" customHeight="1">
      <c r="N997" s="778"/>
      <c r="O997" s="778"/>
      <c r="P997" s="778"/>
      <c r="Q997" s="778"/>
      <c r="R997" s="778"/>
      <c r="S997" s="778"/>
    </row>
    <row r="998" spans="14:19" ht="27.95" customHeight="1">
      <c r="N998" s="778"/>
      <c r="O998" s="778"/>
      <c r="P998" s="778"/>
      <c r="Q998" s="778"/>
      <c r="R998" s="778"/>
      <c r="S998" s="778"/>
    </row>
    <row r="999" spans="14:19" ht="27.95" customHeight="1">
      <c r="N999" s="778"/>
      <c r="O999" s="778"/>
      <c r="P999" s="778"/>
      <c r="Q999" s="778"/>
      <c r="R999" s="778"/>
      <c r="S999" s="778"/>
    </row>
    <row r="1000" spans="14:19" ht="27.95" customHeight="1">
      <c r="N1000" s="778"/>
      <c r="O1000" s="778"/>
      <c r="P1000" s="778"/>
      <c r="Q1000" s="778"/>
      <c r="R1000" s="778"/>
      <c r="S1000" s="778"/>
    </row>
    <row r="1001" spans="14:19" ht="27.95" customHeight="1">
      <c r="N1001" s="778"/>
      <c r="O1001" s="778"/>
      <c r="P1001" s="778"/>
      <c r="Q1001" s="778"/>
      <c r="R1001" s="778"/>
      <c r="S1001" s="778"/>
    </row>
    <row r="1002" spans="14:19" ht="27.95" customHeight="1">
      <c r="N1002" s="778"/>
      <c r="O1002" s="778"/>
      <c r="P1002" s="778"/>
      <c r="Q1002" s="778"/>
      <c r="R1002" s="778"/>
      <c r="S1002" s="778"/>
    </row>
    <row r="1003" spans="14:19" ht="27.95" customHeight="1">
      <c r="N1003" s="778"/>
      <c r="O1003" s="778"/>
      <c r="P1003" s="778"/>
      <c r="Q1003" s="778"/>
      <c r="R1003" s="778"/>
      <c r="S1003" s="778"/>
    </row>
    <row r="1004" spans="14:19" ht="27.95" customHeight="1">
      <c r="N1004" s="778"/>
      <c r="O1004" s="778"/>
      <c r="P1004" s="778"/>
      <c r="Q1004" s="778"/>
      <c r="R1004" s="778"/>
      <c r="S1004" s="778"/>
    </row>
    <row r="1005" spans="14:19" ht="27.95" customHeight="1">
      <c r="N1005" s="778"/>
      <c r="O1005" s="778"/>
      <c r="P1005" s="778"/>
      <c r="Q1005" s="778"/>
      <c r="R1005" s="778"/>
      <c r="S1005" s="778"/>
    </row>
    <row r="1006" spans="14:19" ht="27.95" customHeight="1">
      <c r="N1006" s="778"/>
      <c r="O1006" s="778"/>
      <c r="P1006" s="778"/>
      <c r="Q1006" s="778"/>
      <c r="R1006" s="778"/>
      <c r="S1006" s="778"/>
    </row>
    <row r="1007" spans="14:19" ht="27.95" customHeight="1">
      <c r="N1007" s="778"/>
      <c r="O1007" s="778"/>
      <c r="P1007" s="778"/>
      <c r="Q1007" s="778"/>
      <c r="R1007" s="778"/>
      <c r="S1007" s="778"/>
    </row>
    <row r="1008" spans="14:19" ht="27.95" customHeight="1">
      <c r="N1008" s="778"/>
      <c r="O1008" s="778"/>
      <c r="P1008" s="778"/>
      <c r="Q1008" s="778"/>
      <c r="R1008" s="778"/>
      <c r="S1008" s="778"/>
    </row>
    <row r="1009" spans="14:19" ht="27.95" customHeight="1">
      <c r="N1009" s="778"/>
      <c r="O1009" s="778"/>
      <c r="P1009" s="778"/>
      <c r="Q1009" s="778"/>
      <c r="R1009" s="778"/>
      <c r="S1009" s="778"/>
    </row>
    <row r="1010" spans="14:19" ht="27.95" customHeight="1">
      <c r="N1010" s="778"/>
      <c r="O1010" s="778"/>
      <c r="P1010" s="778"/>
      <c r="Q1010" s="778"/>
      <c r="R1010" s="778"/>
      <c r="S1010" s="778"/>
    </row>
    <row r="1011" spans="14:19" ht="27.95" customHeight="1">
      <c r="N1011" s="778"/>
      <c r="O1011" s="778"/>
      <c r="P1011" s="778"/>
      <c r="Q1011" s="778"/>
      <c r="R1011" s="778"/>
      <c r="S1011" s="778"/>
    </row>
    <row r="1012" spans="14:19" ht="27.95" customHeight="1">
      <c r="N1012" s="778"/>
      <c r="O1012" s="778"/>
      <c r="P1012" s="778"/>
      <c r="Q1012" s="778"/>
      <c r="R1012" s="778"/>
      <c r="S1012" s="778"/>
    </row>
    <row r="1013" spans="14:19" ht="27.95" customHeight="1">
      <c r="N1013" s="778"/>
      <c r="O1013" s="778"/>
      <c r="P1013" s="778"/>
      <c r="Q1013" s="778"/>
      <c r="R1013" s="778"/>
      <c r="S1013" s="778"/>
    </row>
    <row r="1014" spans="14:19" ht="27.95" customHeight="1">
      <c r="N1014" s="778"/>
      <c r="O1014" s="778"/>
      <c r="P1014" s="778"/>
      <c r="Q1014" s="778"/>
      <c r="R1014" s="778"/>
      <c r="S1014" s="778"/>
    </row>
    <row r="1015" spans="14:19" ht="27.95" customHeight="1">
      <c r="N1015" s="778"/>
      <c r="O1015" s="778"/>
      <c r="P1015" s="778"/>
      <c r="Q1015" s="778"/>
      <c r="R1015" s="778"/>
      <c r="S1015" s="778"/>
    </row>
    <row r="1016" spans="14:19" ht="27.95" customHeight="1">
      <c r="N1016" s="778"/>
      <c r="O1016" s="778"/>
      <c r="P1016" s="778"/>
      <c r="Q1016" s="778"/>
      <c r="R1016" s="778"/>
      <c r="S1016" s="778"/>
    </row>
    <row r="1017" spans="14:19" ht="27.95" customHeight="1">
      <c r="N1017" s="778"/>
      <c r="O1017" s="778"/>
      <c r="P1017" s="778"/>
      <c r="Q1017" s="778"/>
      <c r="R1017" s="778"/>
      <c r="S1017" s="778"/>
    </row>
    <row r="1018" spans="14:19" ht="27.95" customHeight="1">
      <c r="N1018" s="778"/>
      <c r="O1018" s="778"/>
      <c r="P1018" s="778"/>
      <c r="Q1018" s="778"/>
      <c r="R1018" s="778"/>
      <c r="S1018" s="778"/>
    </row>
    <row r="1019" spans="14:19" ht="27.95" customHeight="1">
      <c r="N1019" s="778"/>
      <c r="O1019" s="778"/>
      <c r="P1019" s="778"/>
      <c r="Q1019" s="778"/>
      <c r="R1019" s="778"/>
      <c r="S1019" s="778"/>
    </row>
    <row r="1020" spans="14:19" ht="27.95" customHeight="1">
      <c r="N1020" s="778"/>
      <c r="O1020" s="778"/>
      <c r="P1020" s="778"/>
      <c r="Q1020" s="778"/>
      <c r="R1020" s="778"/>
      <c r="S1020" s="778"/>
    </row>
    <row r="1021" spans="14:19" ht="27.95" customHeight="1">
      <c r="N1021" s="778"/>
      <c r="O1021" s="778"/>
      <c r="P1021" s="778"/>
      <c r="Q1021" s="778"/>
      <c r="R1021" s="778"/>
      <c r="S1021" s="778"/>
    </row>
    <row r="1022" spans="14:19" ht="27.95" customHeight="1">
      <c r="N1022" s="778"/>
      <c r="O1022" s="778"/>
      <c r="P1022" s="778"/>
      <c r="Q1022" s="778"/>
      <c r="R1022" s="778"/>
      <c r="S1022" s="778"/>
    </row>
    <row r="1023" spans="14:19" ht="27.95" customHeight="1">
      <c r="N1023" s="778"/>
      <c r="O1023" s="778"/>
      <c r="P1023" s="778"/>
      <c r="Q1023" s="778"/>
      <c r="R1023" s="778"/>
      <c r="S1023" s="778"/>
    </row>
    <row r="1024" spans="14:19" ht="27.95" customHeight="1">
      <c r="N1024" s="778"/>
      <c r="O1024" s="778"/>
      <c r="P1024" s="778"/>
      <c r="Q1024" s="778"/>
      <c r="R1024" s="778"/>
      <c r="S1024" s="778"/>
    </row>
    <row r="1025" spans="14:19" ht="27.95" customHeight="1">
      <c r="N1025" s="778"/>
      <c r="O1025" s="778"/>
      <c r="P1025" s="778"/>
      <c r="Q1025" s="778"/>
      <c r="R1025" s="778"/>
      <c r="S1025" s="778"/>
    </row>
    <row r="1026" spans="14:19" ht="27.95" customHeight="1">
      <c r="N1026" s="778"/>
      <c r="O1026" s="778"/>
      <c r="P1026" s="778"/>
      <c r="Q1026" s="778"/>
      <c r="R1026" s="778"/>
      <c r="S1026" s="778"/>
    </row>
    <row r="1027" spans="14:19" ht="27.95" customHeight="1">
      <c r="N1027" s="778"/>
      <c r="O1027" s="778"/>
      <c r="P1027" s="778"/>
      <c r="Q1027" s="778"/>
      <c r="R1027" s="778"/>
      <c r="S1027" s="778"/>
    </row>
    <row r="1028" spans="14:19" ht="27.95" customHeight="1">
      <c r="N1028" s="778"/>
      <c r="O1028" s="778"/>
      <c r="P1028" s="778"/>
      <c r="Q1028" s="778"/>
      <c r="R1028" s="778"/>
      <c r="S1028" s="778"/>
    </row>
    <row r="1029" spans="14:19" ht="27.95" customHeight="1">
      <c r="N1029" s="778"/>
      <c r="O1029" s="778"/>
      <c r="P1029" s="778"/>
      <c r="Q1029" s="778"/>
      <c r="R1029" s="778"/>
      <c r="S1029" s="778"/>
    </row>
    <row r="1030" spans="14:19" ht="27.95" customHeight="1">
      <c r="N1030" s="778"/>
      <c r="O1030" s="778"/>
      <c r="P1030" s="778"/>
      <c r="Q1030" s="778"/>
      <c r="R1030" s="778"/>
      <c r="S1030" s="778"/>
    </row>
    <row r="1031" spans="14:19" ht="27.95" customHeight="1">
      <c r="N1031" s="778"/>
      <c r="O1031" s="778"/>
      <c r="P1031" s="778"/>
      <c r="Q1031" s="778"/>
      <c r="R1031" s="778"/>
      <c r="S1031" s="778"/>
    </row>
    <row r="1032" spans="14:19" ht="27.95" customHeight="1">
      <c r="N1032" s="778"/>
      <c r="O1032" s="778"/>
      <c r="P1032" s="778"/>
      <c r="Q1032" s="778"/>
      <c r="R1032" s="778"/>
      <c r="S1032" s="778"/>
    </row>
    <row r="1033" spans="14:19" ht="27.95" customHeight="1">
      <c r="N1033" s="778"/>
      <c r="O1033" s="778"/>
      <c r="P1033" s="778"/>
      <c r="Q1033" s="778"/>
      <c r="R1033" s="778"/>
      <c r="S1033" s="778"/>
    </row>
    <row r="1034" spans="14:19" ht="27.95" customHeight="1">
      <c r="N1034" s="778"/>
      <c r="O1034" s="778"/>
      <c r="P1034" s="778"/>
      <c r="Q1034" s="778"/>
      <c r="R1034" s="778"/>
      <c r="S1034" s="778"/>
    </row>
    <row r="1035" spans="14:19" ht="27.95" customHeight="1">
      <c r="N1035" s="778"/>
      <c r="O1035" s="778"/>
      <c r="P1035" s="778"/>
      <c r="Q1035" s="778"/>
      <c r="R1035" s="778"/>
      <c r="S1035" s="778"/>
    </row>
    <row r="1036" spans="14:19" ht="27.95" customHeight="1">
      <c r="N1036" s="778"/>
      <c r="O1036" s="778"/>
      <c r="P1036" s="778"/>
      <c r="Q1036" s="778"/>
      <c r="R1036" s="778"/>
      <c r="S1036" s="778"/>
    </row>
    <row r="1037" spans="14:19" ht="27.95" customHeight="1">
      <c r="N1037" s="778"/>
      <c r="O1037" s="778"/>
      <c r="P1037" s="778"/>
      <c r="Q1037" s="778"/>
      <c r="R1037" s="778"/>
      <c r="S1037" s="778"/>
    </row>
    <row r="1038" spans="14:19" ht="27.95" customHeight="1">
      <c r="N1038" s="778"/>
      <c r="O1038" s="778"/>
      <c r="P1038" s="778"/>
      <c r="Q1038" s="778"/>
      <c r="R1038" s="778"/>
      <c r="S1038" s="778"/>
    </row>
    <row r="1039" spans="14:19" ht="27.95" customHeight="1">
      <c r="N1039" s="778"/>
      <c r="O1039" s="778"/>
      <c r="P1039" s="778"/>
      <c r="Q1039" s="778"/>
      <c r="R1039" s="778"/>
      <c r="S1039" s="778"/>
    </row>
    <row r="1040" spans="14:19" ht="27.95" customHeight="1">
      <c r="N1040" s="778"/>
      <c r="O1040" s="778"/>
      <c r="P1040" s="778"/>
      <c r="Q1040" s="778"/>
      <c r="R1040" s="778"/>
      <c r="S1040" s="778"/>
    </row>
    <row r="1041" spans="14:19" ht="27.95" customHeight="1">
      <c r="N1041" s="778"/>
      <c r="O1041" s="778"/>
      <c r="P1041" s="778"/>
      <c r="Q1041" s="778"/>
      <c r="R1041" s="778"/>
      <c r="S1041" s="778"/>
    </row>
    <row r="1042" spans="14:19" ht="27.95" customHeight="1">
      <c r="N1042" s="778"/>
      <c r="O1042" s="778"/>
      <c r="P1042" s="778"/>
      <c r="Q1042" s="778"/>
      <c r="R1042" s="778"/>
      <c r="S1042" s="778"/>
    </row>
    <row r="1043" spans="14:19" ht="27.95" customHeight="1">
      <c r="N1043" s="778"/>
      <c r="O1043" s="778"/>
      <c r="P1043" s="778"/>
      <c r="Q1043" s="778"/>
      <c r="R1043" s="778"/>
      <c r="S1043" s="778"/>
    </row>
    <row r="1044" spans="14:19" ht="27.95" customHeight="1">
      <c r="N1044" s="778"/>
      <c r="O1044" s="778"/>
      <c r="P1044" s="778"/>
      <c r="Q1044" s="778"/>
      <c r="R1044" s="778"/>
      <c r="S1044" s="778"/>
    </row>
    <row r="1045" spans="14:19" ht="27.95" customHeight="1">
      <c r="N1045" s="778"/>
      <c r="O1045" s="778"/>
      <c r="P1045" s="778"/>
      <c r="Q1045" s="778"/>
      <c r="R1045" s="778"/>
      <c r="S1045" s="778"/>
    </row>
    <row r="1046" spans="14:19" ht="27.95" customHeight="1">
      <c r="N1046" s="778"/>
      <c r="O1046" s="778"/>
      <c r="P1046" s="778"/>
      <c r="Q1046" s="778"/>
      <c r="R1046" s="778"/>
      <c r="S1046" s="778"/>
    </row>
    <row r="1047" spans="14:19" ht="27.95" customHeight="1">
      <c r="N1047" s="778"/>
      <c r="O1047" s="778"/>
      <c r="P1047" s="778"/>
      <c r="Q1047" s="778"/>
      <c r="R1047" s="778"/>
      <c r="S1047" s="778"/>
    </row>
    <row r="1048" spans="14:19" ht="27.95" customHeight="1">
      <c r="N1048" s="778"/>
      <c r="O1048" s="778"/>
      <c r="P1048" s="778"/>
      <c r="Q1048" s="778"/>
      <c r="R1048" s="778"/>
      <c r="S1048" s="778"/>
    </row>
    <row r="1049" spans="14:19" ht="27.95" customHeight="1">
      <c r="N1049" s="778"/>
      <c r="O1049" s="778"/>
      <c r="P1049" s="778"/>
      <c r="Q1049" s="778"/>
      <c r="R1049" s="778"/>
      <c r="S1049" s="778"/>
    </row>
    <row r="1050" spans="14:19" ht="27.95" customHeight="1">
      <c r="N1050" s="778"/>
      <c r="O1050" s="778"/>
      <c r="P1050" s="778"/>
      <c r="Q1050" s="778"/>
      <c r="R1050" s="778"/>
      <c r="S1050" s="778"/>
    </row>
    <row r="1051" spans="14:19" ht="27.95" customHeight="1">
      <c r="N1051" s="778"/>
      <c r="O1051" s="778"/>
      <c r="P1051" s="778"/>
      <c r="Q1051" s="778"/>
      <c r="R1051" s="778"/>
      <c r="S1051" s="778"/>
    </row>
    <row r="1052" spans="14:19" ht="27.95" customHeight="1">
      <c r="N1052" s="778"/>
      <c r="O1052" s="778"/>
      <c r="P1052" s="778"/>
      <c r="Q1052" s="778"/>
      <c r="R1052" s="778"/>
      <c r="S1052" s="778"/>
    </row>
    <row r="1053" spans="14:19" ht="27.95" customHeight="1">
      <c r="N1053" s="778"/>
      <c r="O1053" s="778"/>
      <c r="P1053" s="778"/>
      <c r="Q1053" s="778"/>
      <c r="R1053" s="778"/>
      <c r="S1053" s="778"/>
    </row>
    <row r="1054" spans="14:19" ht="27.95" customHeight="1">
      <c r="N1054" s="778"/>
      <c r="O1054" s="778"/>
      <c r="P1054" s="778"/>
      <c r="Q1054" s="778"/>
      <c r="R1054" s="778"/>
      <c r="S1054" s="778"/>
    </row>
    <row r="1055" spans="14:19" ht="27.95" customHeight="1">
      <c r="N1055" s="778"/>
      <c r="O1055" s="778"/>
      <c r="P1055" s="778"/>
      <c r="Q1055" s="778"/>
      <c r="R1055" s="778"/>
      <c r="S1055" s="778"/>
    </row>
    <row r="1056" spans="14:19" ht="27.95" customHeight="1">
      <c r="N1056" s="778"/>
      <c r="O1056" s="778"/>
      <c r="P1056" s="778"/>
      <c r="Q1056" s="778"/>
      <c r="R1056" s="778"/>
      <c r="S1056" s="778"/>
    </row>
    <row r="1057" spans="14:19" ht="27.95" customHeight="1">
      <c r="N1057" s="778"/>
      <c r="O1057" s="778"/>
      <c r="P1057" s="778"/>
      <c r="Q1057" s="778"/>
      <c r="R1057" s="778"/>
      <c r="S1057" s="778"/>
    </row>
    <row r="1058" spans="14:19" ht="27.95" customHeight="1">
      <c r="N1058" s="778"/>
      <c r="O1058" s="778"/>
      <c r="P1058" s="778"/>
      <c r="Q1058" s="778"/>
      <c r="R1058" s="778"/>
      <c r="S1058" s="778"/>
    </row>
    <row r="1059" spans="14:19" ht="27.95" customHeight="1">
      <c r="N1059" s="778"/>
      <c r="O1059" s="778"/>
      <c r="P1059" s="778"/>
      <c r="Q1059" s="778"/>
      <c r="R1059" s="778"/>
      <c r="S1059" s="778"/>
    </row>
    <row r="1060" spans="14:19" ht="27.95" customHeight="1">
      <c r="N1060" s="778"/>
      <c r="O1060" s="778"/>
      <c r="P1060" s="778"/>
      <c r="Q1060" s="778"/>
      <c r="R1060" s="778"/>
      <c r="S1060" s="778"/>
    </row>
    <row r="1061" spans="14:19" ht="27.95" customHeight="1">
      <c r="N1061" s="778"/>
      <c r="O1061" s="778"/>
      <c r="P1061" s="778"/>
      <c r="Q1061" s="778"/>
      <c r="R1061" s="778"/>
      <c r="S1061" s="778"/>
    </row>
    <row r="1062" spans="14:19" ht="27.95" customHeight="1">
      <c r="N1062" s="778"/>
      <c r="O1062" s="778"/>
      <c r="P1062" s="778"/>
      <c r="Q1062" s="778"/>
      <c r="R1062" s="778"/>
      <c r="S1062" s="778"/>
    </row>
    <row r="1063" spans="14:19" ht="27.95" customHeight="1">
      <c r="N1063" s="778"/>
      <c r="O1063" s="778"/>
      <c r="P1063" s="778"/>
      <c r="Q1063" s="778"/>
      <c r="R1063" s="778"/>
      <c r="S1063" s="778"/>
    </row>
    <row r="1064" spans="14:19" ht="27.95" customHeight="1">
      <c r="N1064" s="778"/>
      <c r="O1064" s="778"/>
      <c r="P1064" s="778"/>
      <c r="Q1064" s="778"/>
      <c r="R1064" s="778"/>
      <c r="S1064" s="778"/>
    </row>
    <row r="1065" spans="14:19" ht="27.95" customHeight="1">
      <c r="N1065" s="778"/>
      <c r="O1065" s="778"/>
      <c r="P1065" s="778"/>
      <c r="Q1065" s="778"/>
      <c r="R1065" s="778"/>
      <c r="S1065" s="778"/>
    </row>
    <row r="1066" spans="14:19" ht="27.95" customHeight="1">
      <c r="N1066" s="778"/>
      <c r="O1066" s="778"/>
      <c r="P1066" s="778"/>
      <c r="Q1066" s="778"/>
      <c r="R1066" s="778"/>
      <c r="S1066" s="778"/>
    </row>
    <row r="1067" spans="14:19" ht="27.95" customHeight="1">
      <c r="N1067" s="778"/>
      <c r="O1067" s="778"/>
      <c r="P1067" s="778"/>
      <c r="Q1067" s="778"/>
      <c r="R1067" s="778"/>
      <c r="S1067" s="778"/>
    </row>
    <row r="1068" spans="14:19" ht="27.95" customHeight="1">
      <c r="N1068" s="778"/>
      <c r="O1068" s="778"/>
      <c r="P1068" s="778"/>
      <c r="Q1068" s="778"/>
      <c r="R1068" s="778"/>
      <c r="S1068" s="778"/>
    </row>
    <row r="1069" spans="14:19" ht="27.95" customHeight="1">
      <c r="N1069" s="778"/>
      <c r="O1069" s="778"/>
      <c r="P1069" s="778"/>
      <c r="Q1069" s="778"/>
      <c r="R1069" s="778"/>
      <c r="S1069" s="778"/>
    </row>
    <row r="1070" spans="14:19" ht="27.95" customHeight="1">
      <c r="N1070" s="778"/>
      <c r="O1070" s="778"/>
      <c r="P1070" s="778"/>
      <c r="Q1070" s="778"/>
      <c r="R1070" s="778"/>
      <c r="S1070" s="778"/>
    </row>
    <row r="1071" spans="14:19" ht="27.95" customHeight="1">
      <c r="N1071" s="778"/>
      <c r="O1071" s="778"/>
      <c r="P1071" s="778"/>
      <c r="Q1071" s="778"/>
      <c r="R1071" s="778"/>
      <c r="S1071" s="778"/>
    </row>
    <row r="1072" spans="14:19" ht="27.95" customHeight="1">
      <c r="N1072" s="778"/>
      <c r="O1072" s="778"/>
      <c r="P1072" s="778"/>
      <c r="Q1072" s="778"/>
      <c r="R1072" s="778"/>
      <c r="S1072" s="778"/>
    </row>
    <row r="1073" spans="14:19" ht="27.95" customHeight="1">
      <c r="N1073" s="778"/>
      <c r="O1073" s="778"/>
      <c r="P1073" s="778"/>
      <c r="Q1073" s="778"/>
      <c r="R1073" s="778"/>
      <c r="S1073" s="778"/>
    </row>
    <row r="1074" spans="14:19" ht="27.95" customHeight="1">
      <c r="N1074" s="778"/>
      <c r="O1074" s="778"/>
      <c r="P1074" s="778"/>
      <c r="Q1074" s="778"/>
      <c r="R1074" s="778"/>
      <c r="S1074" s="778"/>
    </row>
    <row r="1075" spans="14:19" ht="27.95" customHeight="1">
      <c r="N1075" s="778"/>
      <c r="O1075" s="778"/>
      <c r="P1075" s="778"/>
      <c r="Q1075" s="778"/>
      <c r="R1075" s="778"/>
      <c r="S1075" s="778"/>
    </row>
    <row r="1076" spans="14:19" ht="27.95" customHeight="1">
      <c r="N1076" s="778"/>
      <c r="O1076" s="778"/>
      <c r="P1076" s="778"/>
      <c r="Q1076" s="778"/>
      <c r="R1076" s="778"/>
      <c r="S1076" s="778"/>
    </row>
    <row r="1077" spans="14:19" ht="27.95" customHeight="1">
      <c r="N1077" s="778"/>
      <c r="O1077" s="778"/>
      <c r="P1077" s="778"/>
      <c r="Q1077" s="778"/>
      <c r="R1077" s="778"/>
      <c r="S1077" s="778"/>
    </row>
    <row r="1078" spans="14:19" ht="27.95" customHeight="1">
      <c r="N1078" s="778"/>
      <c r="O1078" s="778"/>
      <c r="P1078" s="778"/>
      <c r="Q1078" s="778"/>
      <c r="R1078" s="778"/>
      <c r="S1078" s="778"/>
    </row>
    <row r="1079" spans="14:19" ht="27.95" customHeight="1">
      <c r="N1079" s="778"/>
      <c r="O1079" s="778"/>
      <c r="P1079" s="778"/>
      <c r="Q1079" s="778"/>
      <c r="R1079" s="778"/>
      <c r="S1079" s="778"/>
    </row>
    <row r="1080" spans="14:19" ht="27.95" customHeight="1">
      <c r="N1080" s="778"/>
      <c r="O1080" s="778"/>
      <c r="P1080" s="778"/>
      <c r="Q1080" s="778"/>
      <c r="R1080" s="778"/>
      <c r="S1080" s="778"/>
    </row>
    <row r="1081" spans="14:19" ht="27.95" customHeight="1">
      <c r="N1081" s="778"/>
      <c r="O1081" s="778"/>
      <c r="P1081" s="778"/>
      <c r="Q1081" s="778"/>
      <c r="R1081" s="778"/>
      <c r="S1081" s="778"/>
    </row>
    <row r="1082" spans="14:19" ht="27.95" customHeight="1">
      <c r="N1082" s="778"/>
      <c r="O1082" s="778"/>
      <c r="P1082" s="778"/>
      <c r="Q1082" s="778"/>
      <c r="R1082" s="778"/>
      <c r="S1082" s="778"/>
    </row>
    <row r="1083" spans="14:19" ht="27.95" customHeight="1">
      <c r="N1083" s="778"/>
      <c r="O1083" s="778"/>
      <c r="P1083" s="778"/>
      <c r="Q1083" s="778"/>
      <c r="R1083" s="778"/>
      <c r="S1083" s="778"/>
    </row>
    <row r="1084" spans="14:19" ht="27.95" customHeight="1">
      <c r="N1084" s="778"/>
      <c r="O1084" s="778"/>
      <c r="P1084" s="778"/>
      <c r="Q1084" s="778"/>
      <c r="R1084" s="778"/>
      <c r="S1084" s="778"/>
    </row>
    <row r="1085" spans="14:19" ht="27.95" customHeight="1">
      <c r="N1085" s="778"/>
      <c r="O1085" s="778"/>
      <c r="P1085" s="778"/>
      <c r="Q1085" s="778"/>
      <c r="R1085" s="778"/>
      <c r="S1085" s="778"/>
    </row>
    <row r="1086" spans="14:19" ht="27.95" customHeight="1">
      <c r="N1086" s="778"/>
      <c r="O1086" s="778"/>
      <c r="P1086" s="778"/>
      <c r="Q1086" s="778"/>
      <c r="R1086" s="778"/>
      <c r="S1086" s="778"/>
    </row>
    <row r="1087" spans="14:19" ht="27.95" customHeight="1">
      <c r="N1087" s="778"/>
      <c r="O1087" s="778"/>
      <c r="P1087" s="778"/>
      <c r="Q1087" s="778"/>
      <c r="R1087" s="778"/>
      <c r="S1087" s="778"/>
    </row>
    <row r="1088" spans="14:19" ht="27.95" customHeight="1">
      <c r="N1088" s="778"/>
      <c r="O1088" s="778"/>
      <c r="P1088" s="778"/>
      <c r="Q1088" s="778"/>
      <c r="R1088" s="778"/>
      <c r="S1088" s="778"/>
    </row>
    <row r="1089" spans="14:19" ht="27.95" customHeight="1">
      <c r="N1089" s="778"/>
      <c r="O1089" s="778"/>
      <c r="P1089" s="778"/>
      <c r="Q1089" s="778"/>
      <c r="R1089" s="778"/>
      <c r="S1089" s="778"/>
    </row>
    <row r="1090" spans="14:19" ht="27.95" customHeight="1">
      <c r="N1090" s="778"/>
      <c r="O1090" s="778"/>
      <c r="P1090" s="778"/>
      <c r="Q1090" s="778"/>
      <c r="R1090" s="778"/>
      <c r="S1090" s="778"/>
    </row>
    <row r="1091" spans="14:19" ht="27.95" customHeight="1">
      <c r="N1091" s="778"/>
      <c r="O1091" s="778"/>
      <c r="P1091" s="778"/>
      <c r="Q1091" s="778"/>
      <c r="R1091" s="778"/>
      <c r="S1091" s="778"/>
    </row>
    <row r="1092" spans="14:19" ht="27.95" customHeight="1">
      <c r="N1092" s="778"/>
      <c r="O1092" s="778"/>
      <c r="P1092" s="778"/>
      <c r="Q1092" s="778"/>
      <c r="R1092" s="778"/>
      <c r="S1092" s="778"/>
    </row>
    <row r="1093" spans="14:19" ht="27.95" customHeight="1">
      <c r="N1093" s="778"/>
      <c r="O1093" s="778"/>
      <c r="P1093" s="778"/>
      <c r="Q1093" s="778"/>
      <c r="R1093" s="778"/>
      <c r="S1093" s="778"/>
    </row>
    <row r="1094" spans="14:19" ht="27.95" customHeight="1">
      <c r="N1094" s="778"/>
      <c r="O1094" s="778"/>
      <c r="P1094" s="778"/>
      <c r="Q1094" s="778"/>
      <c r="R1094" s="778"/>
      <c r="S1094" s="778"/>
    </row>
    <row r="1095" spans="14:19" ht="27.95" customHeight="1">
      <c r="N1095" s="778"/>
      <c r="O1095" s="778"/>
      <c r="P1095" s="778"/>
      <c r="Q1095" s="778"/>
      <c r="R1095" s="778"/>
      <c r="S1095" s="778"/>
    </row>
    <row r="1096" spans="14:19" ht="27.95" customHeight="1">
      <c r="N1096" s="778"/>
      <c r="O1096" s="778"/>
      <c r="P1096" s="778"/>
      <c r="Q1096" s="778"/>
      <c r="R1096" s="778"/>
      <c r="S1096" s="778"/>
    </row>
    <row r="1097" spans="14:19" ht="27.95" customHeight="1">
      <c r="N1097" s="778"/>
      <c r="O1097" s="778"/>
      <c r="P1097" s="778"/>
      <c r="Q1097" s="778"/>
      <c r="R1097" s="778"/>
      <c r="S1097" s="778"/>
    </row>
    <row r="1098" spans="14:19" ht="27.95" customHeight="1">
      <c r="N1098" s="778"/>
      <c r="O1098" s="778"/>
      <c r="P1098" s="778"/>
      <c r="Q1098" s="778"/>
      <c r="R1098" s="778"/>
      <c r="S1098" s="778"/>
    </row>
    <row r="1099" spans="14:19" ht="27.95" customHeight="1">
      <c r="N1099" s="778"/>
      <c r="O1099" s="778"/>
      <c r="P1099" s="778"/>
      <c r="Q1099" s="778"/>
      <c r="R1099" s="778"/>
      <c r="S1099" s="778"/>
    </row>
    <row r="1100" spans="14:19" ht="27.95" customHeight="1">
      <c r="N1100" s="778"/>
      <c r="O1100" s="778"/>
      <c r="P1100" s="778"/>
      <c r="Q1100" s="778"/>
      <c r="R1100" s="778"/>
      <c r="S1100" s="778"/>
    </row>
    <row r="1101" spans="14:19" ht="27.95" customHeight="1">
      <c r="N1101" s="778"/>
      <c r="O1101" s="778"/>
      <c r="P1101" s="778"/>
      <c r="Q1101" s="778"/>
      <c r="R1101" s="778"/>
      <c r="S1101" s="778"/>
    </row>
    <row r="1102" spans="14:19" ht="27.95" customHeight="1">
      <c r="N1102" s="778"/>
      <c r="O1102" s="778"/>
      <c r="P1102" s="778"/>
      <c r="Q1102" s="778"/>
      <c r="R1102" s="778"/>
      <c r="S1102" s="778"/>
    </row>
    <row r="1103" spans="14:19" ht="27.95" customHeight="1">
      <c r="N1103" s="778"/>
      <c r="O1103" s="778"/>
      <c r="P1103" s="778"/>
      <c r="Q1103" s="778"/>
      <c r="R1103" s="778"/>
      <c r="S1103" s="778"/>
    </row>
    <row r="1104" spans="14:19" ht="27.95" customHeight="1">
      <c r="N1104" s="778"/>
      <c r="O1104" s="778"/>
      <c r="P1104" s="778"/>
      <c r="Q1104" s="778"/>
      <c r="R1104" s="778"/>
      <c r="S1104" s="778"/>
    </row>
    <row r="1105" spans="14:19" ht="27.95" customHeight="1">
      <c r="N1105" s="778"/>
      <c r="O1105" s="778"/>
      <c r="P1105" s="778"/>
      <c r="Q1105" s="778"/>
      <c r="R1105" s="778"/>
      <c r="S1105" s="778"/>
    </row>
    <row r="1106" spans="14:19" ht="27.95" customHeight="1">
      <c r="N1106" s="778"/>
      <c r="O1106" s="778"/>
      <c r="P1106" s="778"/>
      <c r="Q1106" s="778"/>
      <c r="R1106" s="778"/>
      <c r="S1106" s="778"/>
    </row>
    <row r="1107" spans="14:19" ht="27.95" customHeight="1">
      <c r="N1107" s="778"/>
      <c r="O1107" s="778"/>
      <c r="P1107" s="778"/>
      <c r="Q1107" s="778"/>
      <c r="R1107" s="778"/>
      <c r="S1107" s="778"/>
    </row>
    <row r="1108" spans="14:19" ht="27.95" customHeight="1">
      <c r="N1108" s="778"/>
      <c r="O1108" s="778"/>
      <c r="P1108" s="778"/>
      <c r="Q1108" s="778"/>
      <c r="R1108" s="778"/>
      <c r="S1108" s="778"/>
    </row>
    <row r="1109" spans="14:19" ht="27.95" customHeight="1">
      <c r="N1109" s="778"/>
      <c r="O1109" s="778"/>
      <c r="P1109" s="778"/>
      <c r="Q1109" s="778"/>
      <c r="R1109" s="778"/>
      <c r="S1109" s="778"/>
    </row>
    <row r="1110" spans="14:19" ht="27.95" customHeight="1">
      <c r="N1110" s="778"/>
      <c r="O1110" s="778"/>
      <c r="P1110" s="778"/>
      <c r="Q1110" s="778"/>
      <c r="R1110" s="778"/>
      <c r="S1110" s="778"/>
    </row>
    <row r="1111" spans="14:19" ht="27.95" customHeight="1">
      <c r="N1111" s="778"/>
      <c r="O1111" s="778"/>
      <c r="P1111" s="778"/>
      <c r="Q1111" s="778"/>
      <c r="R1111" s="778"/>
      <c r="S1111" s="778"/>
    </row>
    <row r="1112" spans="14:19" ht="27.95" customHeight="1">
      <c r="N1112" s="778"/>
      <c r="O1112" s="778"/>
      <c r="P1112" s="778"/>
      <c r="Q1112" s="778"/>
      <c r="R1112" s="778"/>
      <c r="S1112" s="778"/>
    </row>
    <row r="1113" spans="14:19" ht="27.95" customHeight="1">
      <c r="N1113" s="778"/>
      <c r="O1113" s="778"/>
      <c r="P1113" s="778"/>
      <c r="Q1113" s="778"/>
      <c r="R1113" s="778"/>
      <c r="S1113" s="778"/>
    </row>
    <row r="1114" spans="14:19" ht="27.95" customHeight="1">
      <c r="N1114" s="778"/>
      <c r="O1114" s="778"/>
      <c r="P1114" s="778"/>
      <c r="Q1114" s="778"/>
      <c r="R1114" s="778"/>
      <c r="S1114" s="778"/>
    </row>
    <row r="1115" spans="14:19" ht="27.95" customHeight="1">
      <c r="N1115" s="778"/>
      <c r="O1115" s="778"/>
      <c r="P1115" s="778"/>
      <c r="Q1115" s="778"/>
      <c r="R1115" s="778"/>
      <c r="S1115" s="778"/>
    </row>
    <row r="1116" spans="14:19" ht="27.95" customHeight="1">
      <c r="N1116" s="778"/>
      <c r="O1116" s="778"/>
      <c r="P1116" s="778"/>
      <c r="Q1116" s="778"/>
      <c r="R1116" s="778"/>
      <c r="S1116" s="778"/>
    </row>
    <row r="1117" spans="14:19" ht="27.95" customHeight="1">
      <c r="N1117" s="778"/>
      <c r="O1117" s="778"/>
      <c r="P1117" s="778"/>
      <c r="Q1117" s="778"/>
      <c r="R1117" s="778"/>
      <c r="S1117" s="778"/>
    </row>
    <row r="1118" spans="14:19" ht="27.95" customHeight="1">
      <c r="N1118" s="778"/>
      <c r="O1118" s="778"/>
      <c r="P1118" s="778"/>
      <c r="Q1118" s="778"/>
      <c r="R1118" s="778"/>
      <c r="S1118" s="778"/>
    </row>
    <row r="1119" spans="14:19" ht="27.95" customHeight="1">
      <c r="N1119" s="778"/>
      <c r="O1119" s="778"/>
      <c r="P1119" s="778"/>
      <c r="Q1119" s="778"/>
      <c r="R1119" s="778"/>
      <c r="S1119" s="778"/>
    </row>
    <row r="1120" spans="14:19" ht="27.95" customHeight="1">
      <c r="N1120" s="778"/>
      <c r="O1120" s="778"/>
      <c r="P1120" s="778"/>
      <c r="Q1120" s="778"/>
      <c r="R1120" s="778"/>
      <c r="S1120" s="778"/>
    </row>
    <row r="1121" spans="14:19" ht="27.95" customHeight="1">
      <c r="N1121" s="778"/>
      <c r="O1121" s="778"/>
      <c r="P1121" s="778"/>
      <c r="Q1121" s="778"/>
      <c r="R1121" s="778"/>
      <c r="S1121" s="778"/>
    </row>
    <row r="1122" spans="14:19" ht="27.95" customHeight="1">
      <c r="N1122" s="778"/>
      <c r="O1122" s="778"/>
      <c r="P1122" s="778"/>
      <c r="Q1122" s="778"/>
      <c r="R1122" s="778"/>
      <c r="S1122" s="778"/>
    </row>
    <row r="1123" spans="14:19" ht="27.95" customHeight="1">
      <c r="N1123" s="778"/>
      <c r="O1123" s="778"/>
      <c r="P1123" s="778"/>
      <c r="Q1123" s="778"/>
      <c r="R1123" s="778"/>
      <c r="S1123" s="778"/>
    </row>
    <row r="1124" spans="14:19" ht="27.95" customHeight="1">
      <c r="N1124" s="778"/>
      <c r="O1124" s="778"/>
      <c r="P1124" s="778"/>
      <c r="Q1124" s="778"/>
      <c r="R1124" s="778"/>
      <c r="S1124" s="778"/>
    </row>
    <row r="1125" spans="14:19" ht="27.95" customHeight="1">
      <c r="N1125" s="778"/>
      <c r="O1125" s="778"/>
      <c r="P1125" s="778"/>
      <c r="Q1125" s="778"/>
      <c r="R1125" s="778"/>
      <c r="S1125" s="778"/>
    </row>
    <row r="1126" spans="14:19" ht="27.95" customHeight="1">
      <c r="N1126" s="778"/>
      <c r="O1126" s="778"/>
      <c r="P1126" s="778"/>
      <c r="Q1126" s="778"/>
      <c r="R1126" s="778"/>
      <c r="S1126" s="778"/>
    </row>
    <row r="1127" spans="14:19" ht="27.95" customHeight="1">
      <c r="N1127" s="778"/>
      <c r="O1127" s="778"/>
      <c r="P1127" s="778"/>
      <c r="Q1127" s="778"/>
      <c r="R1127" s="778"/>
      <c r="S1127" s="778"/>
    </row>
    <row r="1128" spans="14:19" ht="27.95" customHeight="1">
      <c r="N1128" s="778"/>
      <c r="O1128" s="778"/>
      <c r="P1128" s="778"/>
      <c r="Q1128" s="778"/>
      <c r="R1128" s="778"/>
      <c r="S1128" s="778"/>
    </row>
    <row r="1129" spans="14:19" ht="27.95" customHeight="1">
      <c r="N1129" s="778"/>
      <c r="O1129" s="778"/>
      <c r="P1129" s="778"/>
      <c r="Q1129" s="778"/>
      <c r="R1129" s="778"/>
      <c r="S1129" s="778"/>
    </row>
    <row r="1130" spans="14:19" ht="27.95" customHeight="1">
      <c r="N1130" s="778"/>
      <c r="O1130" s="778"/>
      <c r="P1130" s="778"/>
      <c r="Q1130" s="778"/>
      <c r="R1130" s="778"/>
      <c r="S1130" s="778"/>
    </row>
    <row r="1131" spans="14:19" ht="27.95" customHeight="1">
      <c r="N1131" s="778"/>
      <c r="O1131" s="778"/>
      <c r="P1131" s="778"/>
      <c r="Q1131" s="778"/>
      <c r="R1131" s="778"/>
      <c r="S1131" s="778"/>
    </row>
    <row r="1132" spans="14:19" ht="27.95" customHeight="1">
      <c r="N1132" s="778"/>
      <c r="O1132" s="778"/>
      <c r="P1132" s="778"/>
      <c r="Q1132" s="778"/>
      <c r="R1132" s="778"/>
      <c r="S1132" s="778"/>
    </row>
    <row r="1133" spans="14:19" ht="27.95" customHeight="1">
      <c r="N1133" s="778"/>
      <c r="O1133" s="778"/>
      <c r="P1133" s="778"/>
      <c r="Q1133" s="778"/>
      <c r="R1133" s="778"/>
      <c r="S1133" s="778"/>
    </row>
    <row r="1134" spans="14:19" ht="27.95" customHeight="1">
      <c r="N1134" s="778"/>
      <c r="O1134" s="778"/>
      <c r="P1134" s="778"/>
      <c r="Q1134" s="778"/>
      <c r="R1134" s="778"/>
      <c r="S1134" s="778"/>
    </row>
    <row r="1135" spans="14:19" ht="27.95" customHeight="1">
      <c r="N1135" s="778"/>
      <c r="O1135" s="778"/>
      <c r="P1135" s="778"/>
      <c r="Q1135" s="778"/>
      <c r="R1135" s="778"/>
      <c r="S1135" s="778"/>
    </row>
    <row r="1136" spans="14:19" ht="27.95" customHeight="1">
      <c r="N1136" s="778"/>
      <c r="O1136" s="778"/>
      <c r="P1136" s="778"/>
      <c r="Q1136" s="778"/>
      <c r="R1136" s="778"/>
      <c r="S1136" s="778"/>
    </row>
    <row r="1137" spans="14:19" ht="27.95" customHeight="1">
      <c r="N1137" s="778"/>
      <c r="O1137" s="778"/>
      <c r="P1137" s="778"/>
      <c r="Q1137" s="778"/>
      <c r="R1137" s="778"/>
      <c r="S1137" s="778"/>
    </row>
    <row r="1138" spans="14:19" ht="27.95" customHeight="1">
      <c r="N1138" s="778"/>
      <c r="O1138" s="778"/>
      <c r="P1138" s="778"/>
      <c r="Q1138" s="778"/>
      <c r="R1138" s="778"/>
      <c r="S1138" s="778"/>
    </row>
    <row r="1139" spans="14:19" ht="27.95" customHeight="1">
      <c r="N1139" s="778"/>
      <c r="O1139" s="778"/>
      <c r="P1139" s="778"/>
      <c r="Q1139" s="778"/>
      <c r="R1139" s="778"/>
      <c r="S1139" s="778"/>
    </row>
    <row r="1140" spans="14:19" ht="27.95" customHeight="1">
      <c r="N1140" s="778"/>
      <c r="O1140" s="778"/>
      <c r="P1140" s="778"/>
      <c r="Q1140" s="778"/>
      <c r="R1140" s="778"/>
      <c r="S1140" s="778"/>
    </row>
    <row r="1141" spans="14:19" ht="27.95" customHeight="1">
      <c r="N1141" s="778"/>
      <c r="O1141" s="778"/>
      <c r="P1141" s="778"/>
      <c r="Q1141" s="778"/>
      <c r="R1141" s="778"/>
      <c r="S1141" s="778"/>
    </row>
    <row r="1142" spans="14:19" ht="27.95" customHeight="1">
      <c r="N1142" s="778"/>
      <c r="O1142" s="778"/>
      <c r="P1142" s="778"/>
      <c r="Q1142" s="778"/>
      <c r="R1142" s="778"/>
      <c r="S1142" s="778"/>
    </row>
    <row r="1143" spans="14:19" ht="27.95" customHeight="1">
      <c r="N1143" s="778"/>
      <c r="O1143" s="778"/>
      <c r="P1143" s="778"/>
      <c r="Q1143" s="778"/>
      <c r="R1143" s="778"/>
      <c r="S1143" s="778"/>
    </row>
    <row r="1144" spans="14:19" ht="27.95" customHeight="1">
      <c r="N1144" s="778"/>
      <c r="O1144" s="778"/>
      <c r="P1144" s="778"/>
      <c r="Q1144" s="778"/>
      <c r="R1144" s="778"/>
      <c r="S1144" s="778"/>
    </row>
    <row r="1145" spans="14:19" ht="27.95" customHeight="1">
      <c r="N1145" s="778"/>
      <c r="O1145" s="778"/>
      <c r="P1145" s="778"/>
      <c r="Q1145" s="778"/>
      <c r="R1145" s="778"/>
      <c r="S1145" s="778"/>
    </row>
    <row r="1146" spans="14:19" ht="27.95" customHeight="1">
      <c r="N1146" s="778"/>
      <c r="O1146" s="778"/>
      <c r="P1146" s="778"/>
      <c r="Q1146" s="778"/>
      <c r="R1146" s="778"/>
      <c r="S1146" s="778"/>
    </row>
    <row r="1147" spans="14:19" ht="27.95" customHeight="1">
      <c r="N1147" s="778"/>
      <c r="O1147" s="778"/>
      <c r="P1147" s="778"/>
      <c r="Q1147" s="778"/>
      <c r="R1147" s="778"/>
      <c r="S1147" s="778"/>
    </row>
    <row r="1148" spans="14:19" ht="27.95" customHeight="1">
      <c r="N1148" s="778"/>
      <c r="O1148" s="778"/>
      <c r="P1148" s="778"/>
      <c r="Q1148" s="778"/>
      <c r="R1148" s="778"/>
      <c r="S1148" s="778"/>
    </row>
    <row r="1149" spans="14:19" ht="27.95" customHeight="1">
      <c r="N1149" s="778"/>
      <c r="O1149" s="778"/>
      <c r="P1149" s="778"/>
      <c r="Q1149" s="778"/>
      <c r="R1149" s="778"/>
      <c r="S1149" s="778"/>
    </row>
    <row r="1150" spans="14:19" ht="27.95" customHeight="1">
      <c r="N1150" s="778"/>
      <c r="O1150" s="778"/>
      <c r="P1150" s="778"/>
      <c r="Q1150" s="778"/>
      <c r="R1150" s="778"/>
      <c r="S1150" s="778"/>
    </row>
    <row r="1151" spans="14:19" ht="27.95" customHeight="1">
      <c r="N1151" s="778"/>
      <c r="O1151" s="778"/>
      <c r="P1151" s="778"/>
      <c r="Q1151" s="778"/>
      <c r="R1151" s="778"/>
      <c r="S1151" s="778"/>
    </row>
    <row r="1152" spans="14:19" ht="27.95" customHeight="1">
      <c r="N1152" s="778"/>
      <c r="O1152" s="778"/>
      <c r="P1152" s="778"/>
      <c r="Q1152" s="778"/>
      <c r="R1152" s="778"/>
      <c r="S1152" s="778"/>
    </row>
    <row r="1153" spans="14:19" ht="27.95" customHeight="1">
      <c r="N1153" s="778"/>
      <c r="O1153" s="778"/>
      <c r="P1153" s="778"/>
      <c r="Q1153" s="778"/>
      <c r="R1153" s="778"/>
      <c r="S1153" s="778"/>
    </row>
    <row r="1154" spans="14:19" ht="27.95" customHeight="1">
      <c r="N1154" s="778"/>
      <c r="O1154" s="778"/>
      <c r="P1154" s="778"/>
      <c r="Q1154" s="778"/>
      <c r="R1154" s="778"/>
      <c r="S1154" s="778"/>
    </row>
    <row r="1155" spans="14:19" ht="27.95" customHeight="1">
      <c r="N1155" s="778"/>
      <c r="O1155" s="778"/>
      <c r="P1155" s="778"/>
      <c r="Q1155" s="778"/>
      <c r="R1155" s="778"/>
      <c r="S1155" s="778"/>
    </row>
    <row r="1156" spans="14:19" ht="27.95" customHeight="1">
      <c r="N1156" s="778"/>
      <c r="O1156" s="778"/>
      <c r="P1156" s="778"/>
      <c r="Q1156" s="778"/>
      <c r="R1156" s="778"/>
      <c r="S1156" s="778"/>
    </row>
    <row r="1157" spans="14:19" ht="27.95" customHeight="1">
      <c r="N1157" s="778"/>
      <c r="O1157" s="778"/>
      <c r="P1157" s="778"/>
      <c r="Q1157" s="778"/>
      <c r="R1157" s="778"/>
      <c r="S1157" s="778"/>
    </row>
    <row r="1158" spans="14:19" ht="27.95" customHeight="1">
      <c r="N1158" s="778"/>
      <c r="O1158" s="778"/>
      <c r="P1158" s="778"/>
      <c r="Q1158" s="778"/>
      <c r="R1158" s="778"/>
      <c r="S1158" s="778"/>
    </row>
    <row r="1159" spans="14:19" ht="27.95" customHeight="1">
      <c r="N1159" s="778"/>
      <c r="O1159" s="778"/>
      <c r="P1159" s="778"/>
      <c r="Q1159" s="778"/>
      <c r="R1159" s="778"/>
      <c r="S1159" s="778"/>
    </row>
    <row r="1160" spans="14:19" ht="27.95" customHeight="1">
      <c r="N1160" s="778"/>
      <c r="O1160" s="778"/>
      <c r="P1160" s="778"/>
      <c r="Q1160" s="778"/>
      <c r="R1160" s="778"/>
      <c r="S1160" s="778"/>
    </row>
    <row r="1161" spans="14:19" ht="27.95" customHeight="1">
      <c r="N1161" s="778"/>
      <c r="O1161" s="778"/>
      <c r="P1161" s="778"/>
      <c r="Q1161" s="778"/>
      <c r="R1161" s="778"/>
      <c r="S1161" s="778"/>
    </row>
    <row r="1162" spans="14:19" ht="27.95" customHeight="1">
      <c r="N1162" s="778"/>
      <c r="O1162" s="778"/>
      <c r="P1162" s="778"/>
      <c r="Q1162" s="778"/>
      <c r="R1162" s="778"/>
      <c r="S1162" s="778"/>
    </row>
    <row r="1163" spans="14:19" ht="27.95" customHeight="1">
      <c r="N1163" s="778"/>
      <c r="O1163" s="778"/>
      <c r="P1163" s="778"/>
      <c r="Q1163" s="778"/>
      <c r="R1163" s="778"/>
      <c r="S1163" s="778"/>
    </row>
    <row r="1164" spans="14:19" ht="27.95" customHeight="1">
      <c r="N1164" s="778"/>
      <c r="O1164" s="778"/>
      <c r="P1164" s="778"/>
      <c r="Q1164" s="778"/>
      <c r="R1164" s="778"/>
      <c r="S1164" s="778"/>
    </row>
    <row r="1165" spans="14:19" ht="27.95" customHeight="1">
      <c r="N1165" s="778"/>
      <c r="O1165" s="778"/>
      <c r="P1165" s="778"/>
      <c r="Q1165" s="778"/>
      <c r="R1165" s="778"/>
      <c r="S1165" s="778"/>
    </row>
    <row r="1166" spans="14:19" ht="27.95" customHeight="1">
      <c r="N1166" s="778"/>
      <c r="O1166" s="778"/>
      <c r="P1166" s="778"/>
      <c r="Q1166" s="778"/>
      <c r="R1166" s="778"/>
      <c r="S1166" s="778"/>
    </row>
    <row r="1167" spans="14:19" ht="27.95" customHeight="1">
      <c r="N1167" s="778"/>
      <c r="O1167" s="778"/>
      <c r="P1167" s="778"/>
      <c r="Q1167" s="778"/>
      <c r="R1167" s="778"/>
      <c r="S1167" s="778"/>
    </row>
    <row r="1168" spans="14:19" ht="27.95" customHeight="1">
      <c r="N1168" s="778"/>
      <c r="O1168" s="778"/>
      <c r="P1168" s="778"/>
      <c r="Q1168" s="778"/>
      <c r="R1168" s="778"/>
      <c r="S1168" s="778"/>
    </row>
    <row r="1169" spans="14:19" ht="27.95" customHeight="1">
      <c r="N1169" s="778"/>
      <c r="O1169" s="778"/>
      <c r="P1169" s="778"/>
      <c r="Q1169" s="778"/>
      <c r="R1169" s="778"/>
      <c r="S1169" s="778"/>
    </row>
    <row r="1170" spans="14:19" ht="27.95" customHeight="1">
      <c r="N1170" s="778"/>
      <c r="O1170" s="778"/>
      <c r="P1170" s="778"/>
      <c r="Q1170" s="778"/>
      <c r="R1170" s="778"/>
      <c r="S1170" s="778"/>
    </row>
    <row r="1171" spans="14:19" ht="27.95" customHeight="1">
      <c r="N1171" s="778"/>
      <c r="O1171" s="778"/>
      <c r="P1171" s="778"/>
      <c r="Q1171" s="778"/>
      <c r="R1171" s="778"/>
      <c r="S1171" s="778"/>
    </row>
    <row r="1172" spans="14:19" ht="27.95" customHeight="1">
      <c r="N1172" s="778"/>
      <c r="O1172" s="778"/>
      <c r="P1172" s="778"/>
      <c r="Q1172" s="778"/>
      <c r="R1172" s="778"/>
      <c r="S1172" s="778"/>
    </row>
    <row r="1173" spans="14:19" ht="27.95" customHeight="1">
      <c r="N1173" s="778"/>
      <c r="O1173" s="778"/>
      <c r="P1173" s="778"/>
      <c r="Q1173" s="778"/>
      <c r="R1173" s="778"/>
      <c r="S1173" s="778"/>
    </row>
    <row r="1174" spans="14:19" ht="27.95" customHeight="1">
      <c r="N1174" s="778"/>
      <c r="O1174" s="778"/>
      <c r="P1174" s="778"/>
      <c r="Q1174" s="778"/>
      <c r="R1174" s="778"/>
      <c r="S1174" s="778"/>
    </row>
    <row r="1175" spans="14:19" ht="27.95" customHeight="1">
      <c r="N1175" s="778"/>
      <c r="O1175" s="778"/>
      <c r="P1175" s="778"/>
      <c r="Q1175" s="778"/>
      <c r="R1175" s="778"/>
      <c r="S1175" s="778"/>
    </row>
    <row r="1176" spans="14:19" ht="27.95" customHeight="1">
      <c r="N1176" s="778"/>
      <c r="O1176" s="778"/>
      <c r="P1176" s="778"/>
      <c r="Q1176" s="778"/>
      <c r="R1176" s="778"/>
      <c r="S1176" s="778"/>
    </row>
    <row r="1177" spans="14:19" ht="27.95" customHeight="1">
      <c r="N1177" s="778"/>
      <c r="O1177" s="778"/>
      <c r="P1177" s="778"/>
      <c r="Q1177" s="778"/>
      <c r="R1177" s="778"/>
      <c r="S1177" s="778"/>
    </row>
    <row r="1178" spans="14:19" ht="27.95" customHeight="1">
      <c r="N1178" s="778"/>
      <c r="O1178" s="778"/>
      <c r="P1178" s="778"/>
      <c r="Q1178" s="778"/>
      <c r="R1178" s="778"/>
      <c r="S1178" s="778"/>
    </row>
    <row r="1179" spans="14:19" ht="27.95" customHeight="1">
      <c r="N1179" s="778"/>
      <c r="O1179" s="778"/>
      <c r="P1179" s="778"/>
      <c r="Q1179" s="778"/>
      <c r="R1179" s="778"/>
      <c r="S1179" s="778"/>
    </row>
    <row r="1180" spans="14:19" ht="27.95" customHeight="1">
      <c r="N1180" s="778"/>
      <c r="O1180" s="778"/>
      <c r="P1180" s="778"/>
      <c r="Q1180" s="778"/>
      <c r="R1180" s="778"/>
      <c r="S1180" s="778"/>
    </row>
    <row r="1181" spans="14:19" ht="27.95" customHeight="1">
      <c r="N1181" s="778"/>
      <c r="O1181" s="778"/>
      <c r="P1181" s="778"/>
      <c r="Q1181" s="778"/>
      <c r="R1181" s="778"/>
      <c r="S1181" s="778"/>
    </row>
    <row r="1182" spans="14:19" ht="27.95" customHeight="1">
      <c r="N1182" s="778"/>
      <c r="O1182" s="778"/>
      <c r="P1182" s="778"/>
      <c r="Q1182" s="778"/>
      <c r="R1182" s="778"/>
      <c r="S1182" s="778"/>
    </row>
    <row r="1183" spans="14:19" ht="27.95" customHeight="1">
      <c r="N1183" s="778"/>
      <c r="O1183" s="778"/>
      <c r="P1183" s="778"/>
      <c r="Q1183" s="778"/>
      <c r="R1183" s="778"/>
      <c r="S1183" s="778"/>
    </row>
    <row r="1184" spans="14:19" ht="27.95" customHeight="1">
      <c r="N1184" s="778"/>
      <c r="O1184" s="778"/>
      <c r="P1184" s="778"/>
      <c r="Q1184" s="778"/>
      <c r="R1184" s="778"/>
      <c r="S1184" s="778"/>
    </row>
    <row r="1185" spans="14:19" ht="27.95" customHeight="1">
      <c r="N1185" s="778"/>
      <c r="O1185" s="778"/>
      <c r="P1185" s="778"/>
      <c r="Q1185" s="778"/>
      <c r="R1185" s="778"/>
      <c r="S1185" s="778"/>
    </row>
    <row r="1186" spans="14:19" ht="27.95" customHeight="1">
      <c r="N1186" s="778"/>
      <c r="O1186" s="778"/>
      <c r="P1186" s="778"/>
      <c r="Q1186" s="778"/>
      <c r="R1186" s="778"/>
      <c r="S1186" s="778"/>
    </row>
    <row r="1187" spans="14:19" ht="27.95" customHeight="1">
      <c r="N1187" s="778"/>
      <c r="O1187" s="778"/>
      <c r="P1187" s="778"/>
      <c r="Q1187" s="778"/>
      <c r="R1187" s="778"/>
      <c r="S1187" s="778"/>
    </row>
    <row r="1188" spans="14:19" ht="27.95" customHeight="1">
      <c r="N1188" s="778"/>
      <c r="O1188" s="778"/>
      <c r="P1188" s="778"/>
      <c r="Q1188" s="778"/>
      <c r="R1188" s="778"/>
      <c r="S1188" s="778"/>
    </row>
    <row r="1189" spans="14:19" ht="27.95" customHeight="1">
      <c r="N1189" s="778"/>
      <c r="O1189" s="778"/>
      <c r="P1189" s="778"/>
      <c r="Q1189" s="778"/>
      <c r="R1189" s="778"/>
      <c r="S1189" s="778"/>
    </row>
    <row r="1190" spans="14:19" ht="27.95" customHeight="1">
      <c r="N1190" s="778"/>
      <c r="O1190" s="778"/>
      <c r="P1190" s="778"/>
      <c r="Q1190" s="778"/>
      <c r="R1190" s="778"/>
      <c r="S1190" s="778"/>
    </row>
    <row r="1191" spans="14:19" ht="27.95" customHeight="1">
      <c r="N1191" s="778"/>
      <c r="O1191" s="778"/>
      <c r="P1191" s="778"/>
      <c r="Q1191" s="778"/>
      <c r="R1191" s="778"/>
      <c r="S1191" s="778"/>
    </row>
    <row r="1192" spans="14:19" ht="27.95" customHeight="1">
      <c r="N1192" s="778"/>
      <c r="O1192" s="778"/>
      <c r="P1192" s="778"/>
      <c r="Q1192" s="778"/>
      <c r="R1192" s="778"/>
      <c r="S1192" s="778"/>
    </row>
    <row r="1193" spans="14:19" ht="27.95" customHeight="1">
      <c r="N1193" s="778"/>
      <c r="O1193" s="778"/>
      <c r="P1193" s="778"/>
      <c r="Q1193" s="778"/>
      <c r="R1193" s="778"/>
      <c r="S1193" s="778"/>
    </row>
    <row r="1194" spans="14:19" ht="27.95" customHeight="1">
      <c r="N1194" s="778"/>
      <c r="O1194" s="778"/>
      <c r="P1194" s="778"/>
      <c r="Q1194" s="778"/>
      <c r="R1194" s="778"/>
      <c r="S1194" s="778"/>
    </row>
    <row r="1195" spans="14:19" ht="27.95" customHeight="1">
      <c r="N1195" s="778"/>
      <c r="O1195" s="778"/>
      <c r="P1195" s="778"/>
      <c r="Q1195" s="778"/>
      <c r="R1195" s="778"/>
      <c r="S1195" s="778"/>
    </row>
    <row r="1196" spans="14:19" ht="27.95" customHeight="1">
      <c r="N1196" s="778"/>
      <c r="O1196" s="778"/>
      <c r="P1196" s="778"/>
      <c r="Q1196" s="778"/>
      <c r="R1196" s="778"/>
      <c r="S1196" s="778"/>
    </row>
    <row r="1197" spans="14:19" ht="27.95" customHeight="1">
      <c r="N1197" s="778"/>
      <c r="O1197" s="778"/>
      <c r="P1197" s="778"/>
      <c r="Q1197" s="778"/>
      <c r="R1197" s="778"/>
      <c r="S1197" s="778"/>
    </row>
    <row r="1198" spans="14:19" ht="27.95" customHeight="1">
      <c r="N1198" s="778"/>
      <c r="O1198" s="778"/>
      <c r="P1198" s="778"/>
      <c r="Q1198" s="778"/>
      <c r="R1198" s="778"/>
      <c r="S1198" s="778"/>
    </row>
    <row r="1199" spans="14:19" ht="27.95" customHeight="1">
      <c r="N1199" s="778"/>
      <c r="O1199" s="778"/>
      <c r="P1199" s="778"/>
      <c r="Q1199" s="778"/>
      <c r="R1199" s="778"/>
      <c r="S1199" s="778"/>
    </row>
    <row r="1200" spans="14:19" ht="27.95" customHeight="1">
      <c r="N1200" s="778"/>
      <c r="O1200" s="778"/>
      <c r="P1200" s="778"/>
      <c r="Q1200" s="778"/>
      <c r="R1200" s="778"/>
      <c r="S1200" s="778"/>
    </row>
    <row r="1201" spans="14:19" ht="27.95" customHeight="1">
      <c r="N1201" s="778"/>
      <c r="O1201" s="778"/>
      <c r="P1201" s="778"/>
      <c r="Q1201" s="778"/>
      <c r="R1201" s="778"/>
      <c r="S1201" s="778"/>
    </row>
    <row r="1202" spans="14:19" ht="27.95" customHeight="1">
      <c r="N1202" s="778"/>
      <c r="O1202" s="778"/>
      <c r="P1202" s="778"/>
      <c r="Q1202" s="778"/>
      <c r="R1202" s="778"/>
      <c r="S1202" s="778"/>
    </row>
    <row r="1203" spans="14:19" ht="27.95" customHeight="1">
      <c r="N1203" s="778"/>
      <c r="O1203" s="778"/>
      <c r="P1203" s="778"/>
      <c r="Q1203" s="778"/>
      <c r="R1203" s="778"/>
      <c r="S1203" s="778"/>
    </row>
    <row r="1204" spans="14:19" ht="27.95" customHeight="1">
      <c r="N1204" s="778"/>
      <c r="O1204" s="778"/>
      <c r="P1204" s="778"/>
      <c r="Q1204" s="778"/>
      <c r="R1204" s="778"/>
      <c r="S1204" s="778"/>
    </row>
    <row r="1205" spans="14:19" ht="27.95" customHeight="1">
      <c r="N1205" s="778"/>
      <c r="O1205" s="778"/>
      <c r="P1205" s="778"/>
      <c r="Q1205" s="778"/>
      <c r="R1205" s="778"/>
      <c r="S1205" s="778"/>
    </row>
    <row r="1206" spans="14:19" ht="27.95" customHeight="1">
      <c r="N1206" s="778"/>
      <c r="O1206" s="778"/>
      <c r="P1206" s="778"/>
      <c r="Q1206" s="778"/>
      <c r="R1206" s="778"/>
      <c r="S1206" s="778"/>
    </row>
    <row r="1207" spans="14:19" ht="27.95" customHeight="1">
      <c r="N1207" s="778"/>
      <c r="O1207" s="778"/>
      <c r="P1207" s="778"/>
      <c r="Q1207" s="778"/>
      <c r="R1207" s="778"/>
      <c r="S1207" s="778"/>
    </row>
    <row r="1208" spans="14:19" ht="27.95" customHeight="1">
      <c r="N1208" s="778"/>
      <c r="O1208" s="778"/>
      <c r="P1208" s="778"/>
      <c r="Q1208" s="778"/>
      <c r="R1208" s="778"/>
      <c r="S1208" s="778"/>
    </row>
    <row r="1209" spans="14:19" ht="27.95" customHeight="1">
      <c r="N1209" s="778"/>
      <c r="O1209" s="778"/>
      <c r="P1209" s="778"/>
      <c r="Q1209" s="778"/>
      <c r="R1209" s="778"/>
      <c r="S1209" s="778"/>
    </row>
    <row r="1210" spans="14:19" ht="27.95" customHeight="1">
      <c r="N1210" s="778"/>
      <c r="O1210" s="778"/>
      <c r="P1210" s="778"/>
      <c r="Q1210" s="778"/>
      <c r="R1210" s="778"/>
      <c r="S1210" s="778"/>
    </row>
    <row r="1211" spans="14:19" ht="27.95" customHeight="1">
      <c r="N1211" s="778"/>
      <c r="O1211" s="778"/>
      <c r="P1211" s="778"/>
      <c r="Q1211" s="778"/>
      <c r="R1211" s="778"/>
      <c r="S1211" s="778"/>
    </row>
    <row r="1212" spans="14:19" ht="27.95" customHeight="1">
      <c r="N1212" s="778"/>
      <c r="O1212" s="778"/>
      <c r="P1212" s="778"/>
      <c r="Q1212" s="778"/>
      <c r="R1212" s="778"/>
      <c r="S1212" s="778"/>
    </row>
    <row r="1213" spans="14:19" ht="27.95" customHeight="1">
      <c r="N1213" s="778"/>
      <c r="O1213" s="778"/>
      <c r="P1213" s="778"/>
      <c r="Q1213" s="778"/>
      <c r="R1213" s="778"/>
      <c r="S1213" s="778"/>
    </row>
    <row r="1214" spans="14:19" ht="27.95" customHeight="1">
      <c r="N1214" s="778"/>
      <c r="O1214" s="778"/>
      <c r="P1214" s="778"/>
      <c r="Q1214" s="778"/>
      <c r="R1214" s="778"/>
      <c r="S1214" s="778"/>
    </row>
    <row r="1215" spans="14:19" ht="27.95" customHeight="1">
      <c r="N1215" s="778"/>
      <c r="O1215" s="778"/>
      <c r="P1215" s="778"/>
      <c r="Q1215" s="778"/>
      <c r="R1215" s="778"/>
      <c r="S1215" s="778"/>
    </row>
    <row r="1216" spans="14:19" ht="27.95" customHeight="1">
      <c r="N1216" s="778"/>
      <c r="O1216" s="778"/>
      <c r="P1216" s="778"/>
      <c r="Q1216" s="778"/>
      <c r="R1216" s="778"/>
      <c r="S1216" s="778"/>
    </row>
    <row r="1217" spans="14:19" ht="27.95" customHeight="1">
      <c r="N1217" s="778"/>
      <c r="O1217" s="778"/>
      <c r="P1217" s="778"/>
      <c r="Q1217" s="778"/>
      <c r="R1217" s="778"/>
      <c r="S1217" s="778"/>
    </row>
    <row r="1218" spans="14:19" ht="27.95" customHeight="1">
      <c r="N1218" s="778"/>
      <c r="O1218" s="778"/>
      <c r="P1218" s="778"/>
      <c r="Q1218" s="778"/>
      <c r="R1218" s="778"/>
      <c r="S1218" s="778"/>
    </row>
    <row r="1219" spans="14:19" ht="27.95" customHeight="1">
      <c r="N1219" s="778"/>
      <c r="O1219" s="778"/>
      <c r="P1219" s="778"/>
      <c r="Q1219" s="778"/>
      <c r="R1219" s="778"/>
      <c r="S1219" s="778"/>
    </row>
    <row r="1220" spans="14:19" ht="27.95" customHeight="1">
      <c r="N1220" s="778"/>
      <c r="O1220" s="778"/>
      <c r="P1220" s="778"/>
      <c r="Q1220" s="778"/>
      <c r="R1220" s="778"/>
      <c r="S1220" s="778"/>
    </row>
    <row r="1221" spans="14:19" ht="27.95" customHeight="1">
      <c r="N1221" s="778"/>
      <c r="O1221" s="778"/>
      <c r="P1221" s="778"/>
      <c r="Q1221" s="778"/>
      <c r="R1221" s="778"/>
      <c r="S1221" s="778"/>
    </row>
    <row r="1222" spans="14:19" ht="27.95" customHeight="1">
      <c r="N1222" s="778"/>
      <c r="O1222" s="778"/>
      <c r="P1222" s="778"/>
      <c r="Q1222" s="778"/>
      <c r="R1222" s="778"/>
      <c r="S1222" s="778"/>
    </row>
    <row r="1223" spans="14:19" ht="27.95" customHeight="1">
      <c r="N1223" s="778"/>
      <c r="O1223" s="778"/>
      <c r="P1223" s="778"/>
      <c r="Q1223" s="778"/>
      <c r="R1223" s="778"/>
      <c r="S1223" s="778"/>
    </row>
    <row r="1224" spans="14:19" ht="27.95" customHeight="1">
      <c r="N1224" s="778"/>
      <c r="O1224" s="778"/>
      <c r="P1224" s="778"/>
      <c r="Q1224" s="778"/>
      <c r="R1224" s="778"/>
      <c r="S1224" s="778"/>
    </row>
    <row r="1225" spans="14:19" ht="27.95" customHeight="1">
      <c r="N1225" s="778"/>
      <c r="O1225" s="778"/>
      <c r="P1225" s="778"/>
      <c r="Q1225" s="778"/>
      <c r="R1225" s="778"/>
      <c r="S1225" s="778"/>
    </row>
    <row r="1226" spans="14:19" ht="27.95" customHeight="1">
      <c r="N1226" s="778"/>
      <c r="O1226" s="778"/>
      <c r="P1226" s="778"/>
      <c r="Q1226" s="778"/>
      <c r="R1226" s="778"/>
      <c r="S1226" s="778"/>
    </row>
    <row r="1227" spans="14:19" ht="27.95" customHeight="1">
      <c r="N1227" s="778"/>
      <c r="O1227" s="778"/>
      <c r="P1227" s="778"/>
      <c r="Q1227" s="778"/>
      <c r="R1227" s="778"/>
      <c r="S1227" s="778"/>
    </row>
    <row r="1228" spans="14:19" ht="27.95" customHeight="1">
      <c r="N1228" s="778"/>
      <c r="O1228" s="778"/>
      <c r="P1228" s="778"/>
      <c r="Q1228" s="778"/>
      <c r="R1228" s="778"/>
      <c r="S1228" s="778"/>
    </row>
    <row r="1229" spans="14:19" ht="27.95" customHeight="1">
      <c r="N1229" s="778"/>
      <c r="O1229" s="778"/>
      <c r="P1229" s="778"/>
      <c r="Q1229" s="778"/>
      <c r="R1229" s="778"/>
      <c r="S1229" s="778"/>
    </row>
    <row r="1230" spans="14:19" ht="27.95" customHeight="1">
      <c r="N1230" s="778"/>
      <c r="O1230" s="778"/>
      <c r="P1230" s="778"/>
      <c r="Q1230" s="778"/>
      <c r="R1230" s="778"/>
      <c r="S1230" s="778"/>
    </row>
    <row r="1231" spans="14:19" ht="27.95" customHeight="1">
      <c r="N1231" s="778"/>
      <c r="O1231" s="778"/>
      <c r="P1231" s="778"/>
      <c r="Q1231" s="778"/>
      <c r="R1231" s="778"/>
      <c r="S1231" s="778"/>
    </row>
    <row r="1232" spans="14:19" ht="27.95" customHeight="1">
      <c r="N1232" s="778"/>
      <c r="O1232" s="778"/>
      <c r="P1232" s="778"/>
      <c r="Q1232" s="778"/>
      <c r="R1232" s="778"/>
      <c r="S1232" s="778"/>
    </row>
    <row r="1233" spans="14:19" ht="27.95" customHeight="1">
      <c r="N1233" s="778"/>
      <c r="O1233" s="778"/>
      <c r="P1233" s="778"/>
      <c r="Q1233" s="778"/>
      <c r="R1233" s="778"/>
      <c r="S1233" s="778"/>
    </row>
    <row r="1234" spans="14:19" ht="27.95" customHeight="1">
      <c r="N1234" s="778"/>
      <c r="O1234" s="778"/>
      <c r="P1234" s="778"/>
      <c r="Q1234" s="778"/>
      <c r="R1234" s="778"/>
      <c r="S1234" s="778"/>
    </row>
    <row r="1235" spans="14:19" ht="27.95" customHeight="1">
      <c r="N1235" s="778"/>
      <c r="O1235" s="778"/>
      <c r="P1235" s="778"/>
      <c r="Q1235" s="778"/>
      <c r="R1235" s="778"/>
      <c r="S1235" s="778"/>
    </row>
    <row r="1236" spans="14:19" ht="27.95" customHeight="1">
      <c r="N1236" s="778"/>
      <c r="O1236" s="778"/>
      <c r="P1236" s="778"/>
      <c r="Q1236" s="778"/>
      <c r="R1236" s="778"/>
      <c r="S1236" s="778"/>
    </row>
    <row r="1237" spans="14:19" ht="27.95" customHeight="1">
      <c r="N1237" s="778"/>
      <c r="O1237" s="778"/>
      <c r="P1237" s="778"/>
      <c r="Q1237" s="778"/>
      <c r="R1237" s="778"/>
      <c r="S1237" s="778"/>
    </row>
    <row r="1238" spans="14:19" ht="27.95" customHeight="1">
      <c r="N1238" s="778"/>
      <c r="O1238" s="778"/>
      <c r="P1238" s="778"/>
      <c r="Q1238" s="778"/>
      <c r="R1238" s="778"/>
      <c r="S1238" s="778"/>
    </row>
    <row r="1239" spans="14:19" ht="27.95" customHeight="1">
      <c r="N1239" s="778"/>
      <c r="O1239" s="778"/>
      <c r="P1239" s="778"/>
      <c r="Q1239" s="778"/>
      <c r="R1239" s="778"/>
      <c r="S1239" s="778"/>
    </row>
    <row r="1240" spans="14:19" ht="27.95" customHeight="1">
      <c r="N1240" s="778"/>
      <c r="O1240" s="778"/>
      <c r="P1240" s="778"/>
      <c r="Q1240" s="778"/>
      <c r="R1240" s="778"/>
      <c r="S1240" s="778"/>
    </row>
    <row r="1241" spans="14:19" ht="27.95" customHeight="1">
      <c r="N1241" s="778"/>
      <c r="O1241" s="778"/>
      <c r="P1241" s="778"/>
      <c r="Q1241" s="778"/>
      <c r="R1241" s="778"/>
      <c r="S1241" s="778"/>
    </row>
    <row r="1242" spans="14:19" ht="27.95" customHeight="1">
      <c r="N1242" s="778"/>
      <c r="O1242" s="778"/>
      <c r="P1242" s="778"/>
      <c r="Q1242" s="778"/>
      <c r="R1242" s="778"/>
      <c r="S1242" s="778"/>
    </row>
    <row r="1243" spans="14:19" ht="27.95" customHeight="1">
      <c r="N1243" s="778"/>
      <c r="O1243" s="778"/>
      <c r="P1243" s="778"/>
      <c r="Q1243" s="778"/>
      <c r="R1243" s="778"/>
      <c r="S1243" s="778"/>
    </row>
    <row r="1244" spans="14:19" ht="27.95" customHeight="1">
      <c r="N1244" s="778"/>
      <c r="O1244" s="778"/>
      <c r="P1244" s="778"/>
      <c r="Q1244" s="778"/>
      <c r="R1244" s="778"/>
      <c r="S1244" s="778"/>
    </row>
    <row r="1245" spans="14:19" ht="27.95" customHeight="1">
      <c r="N1245" s="778"/>
      <c r="O1245" s="778"/>
      <c r="P1245" s="778"/>
      <c r="Q1245" s="778"/>
      <c r="R1245" s="778"/>
      <c r="S1245" s="778"/>
    </row>
    <row r="1246" spans="14:19" ht="27.95" customHeight="1">
      <c r="N1246" s="778"/>
      <c r="O1246" s="778"/>
      <c r="P1246" s="778"/>
      <c r="Q1246" s="778"/>
      <c r="R1246" s="778"/>
      <c r="S1246" s="778"/>
    </row>
    <row r="1247" spans="14:19" ht="27.95" customHeight="1">
      <c r="N1247" s="778"/>
      <c r="O1247" s="778"/>
      <c r="P1247" s="778"/>
      <c r="Q1247" s="778"/>
      <c r="R1247" s="778"/>
      <c r="S1247" s="778"/>
    </row>
    <row r="1248" spans="14:19" ht="27.95" customHeight="1">
      <c r="N1248" s="778"/>
      <c r="O1248" s="778"/>
      <c r="P1248" s="778"/>
      <c r="Q1248" s="778"/>
      <c r="R1248" s="778"/>
      <c r="S1248" s="778"/>
    </row>
    <row r="1249" spans="14:19" ht="27.95" customHeight="1">
      <c r="N1249" s="778"/>
      <c r="O1249" s="778"/>
      <c r="P1249" s="778"/>
      <c r="Q1249" s="778"/>
      <c r="R1249" s="778"/>
      <c r="S1249" s="778"/>
    </row>
    <row r="1250" spans="14:19" ht="27.95" customHeight="1">
      <c r="N1250" s="778"/>
      <c r="O1250" s="778"/>
      <c r="P1250" s="778"/>
      <c r="Q1250" s="778"/>
      <c r="R1250" s="778"/>
      <c r="S1250" s="778"/>
    </row>
    <row r="1251" spans="14:19" ht="27.95" customHeight="1">
      <c r="N1251" s="778"/>
      <c r="O1251" s="778"/>
      <c r="P1251" s="778"/>
      <c r="Q1251" s="778"/>
      <c r="R1251" s="778"/>
      <c r="S1251" s="778"/>
    </row>
    <row r="1252" spans="14:19" ht="27.95" customHeight="1">
      <c r="N1252" s="778"/>
      <c r="O1252" s="778"/>
      <c r="P1252" s="778"/>
      <c r="Q1252" s="778"/>
      <c r="R1252" s="778"/>
      <c r="S1252" s="778"/>
    </row>
    <row r="1253" spans="14:19" ht="27.95" customHeight="1">
      <c r="N1253" s="778"/>
      <c r="O1253" s="778"/>
      <c r="P1253" s="778"/>
      <c r="Q1253" s="778"/>
      <c r="R1253" s="778"/>
      <c r="S1253" s="778"/>
    </row>
    <row r="1254" spans="14:19" ht="27.95" customHeight="1">
      <c r="N1254" s="778"/>
      <c r="O1254" s="778"/>
      <c r="P1254" s="778"/>
      <c r="Q1254" s="778"/>
      <c r="R1254" s="778"/>
      <c r="S1254" s="778"/>
    </row>
    <row r="1255" spans="14:19" ht="27.95" customHeight="1">
      <c r="N1255" s="778"/>
      <c r="O1255" s="778"/>
      <c r="P1255" s="778"/>
      <c r="Q1255" s="778"/>
      <c r="R1255" s="778"/>
      <c r="S1255" s="778"/>
    </row>
    <row r="1256" spans="14:19" ht="27.95" customHeight="1">
      <c r="N1256" s="778"/>
      <c r="O1256" s="778"/>
      <c r="P1256" s="778"/>
      <c r="Q1256" s="778"/>
      <c r="R1256" s="778"/>
      <c r="S1256" s="778"/>
    </row>
    <row r="1257" spans="14:19" ht="27.95" customHeight="1">
      <c r="N1257" s="778"/>
      <c r="O1257" s="778"/>
      <c r="P1257" s="778"/>
      <c r="Q1257" s="778"/>
      <c r="R1257" s="778"/>
      <c r="S1257" s="778"/>
    </row>
    <row r="1258" spans="14:19" ht="27.95" customHeight="1">
      <c r="N1258" s="778"/>
      <c r="O1258" s="778"/>
      <c r="P1258" s="778"/>
      <c r="Q1258" s="778"/>
      <c r="R1258" s="778"/>
      <c r="S1258" s="778"/>
    </row>
    <row r="1259" spans="14:19" ht="27.95" customHeight="1">
      <c r="N1259" s="778"/>
      <c r="O1259" s="778"/>
      <c r="P1259" s="778"/>
      <c r="Q1259" s="778"/>
      <c r="R1259" s="778"/>
      <c r="S1259" s="778"/>
    </row>
    <row r="1260" spans="14:19" ht="27.95" customHeight="1">
      <c r="N1260" s="778"/>
      <c r="O1260" s="778"/>
      <c r="P1260" s="778"/>
      <c r="Q1260" s="778"/>
      <c r="R1260" s="778"/>
      <c r="S1260" s="778"/>
    </row>
    <row r="1261" spans="14:19" ht="27.95" customHeight="1">
      <c r="N1261" s="778"/>
      <c r="O1261" s="778"/>
      <c r="P1261" s="778"/>
      <c r="Q1261" s="778"/>
      <c r="R1261" s="778"/>
      <c r="S1261" s="778"/>
    </row>
    <row r="1262" spans="14:19" ht="27.95" customHeight="1">
      <c r="N1262" s="778"/>
      <c r="O1262" s="778"/>
      <c r="P1262" s="778"/>
      <c r="Q1262" s="778"/>
      <c r="R1262" s="778"/>
      <c r="S1262" s="778"/>
    </row>
    <row r="1263" spans="14:19" ht="27.95" customHeight="1">
      <c r="N1263" s="778"/>
      <c r="O1263" s="778"/>
      <c r="P1263" s="778"/>
      <c r="Q1263" s="778"/>
      <c r="R1263" s="778"/>
      <c r="S1263" s="778"/>
    </row>
    <row r="1264" spans="14:19" ht="27.95" customHeight="1">
      <c r="N1264" s="778"/>
      <c r="O1264" s="778"/>
      <c r="P1264" s="778"/>
      <c r="Q1264" s="778"/>
      <c r="R1264" s="778"/>
      <c r="S1264" s="778"/>
    </row>
    <row r="1265" spans="14:19" ht="27.95" customHeight="1">
      <c r="N1265" s="778"/>
      <c r="O1265" s="778"/>
      <c r="P1265" s="778"/>
      <c r="Q1265" s="778"/>
      <c r="R1265" s="778"/>
      <c r="S1265" s="778"/>
    </row>
    <row r="1266" spans="14:19" ht="27.95" customHeight="1">
      <c r="N1266" s="778"/>
      <c r="O1266" s="778"/>
      <c r="P1266" s="778"/>
      <c r="Q1266" s="778"/>
      <c r="R1266" s="778"/>
      <c r="S1266" s="778"/>
    </row>
    <row r="1267" spans="14:19" ht="27.95" customHeight="1">
      <c r="N1267" s="778"/>
      <c r="O1267" s="778"/>
      <c r="P1267" s="778"/>
      <c r="Q1267" s="778"/>
      <c r="R1267" s="778"/>
      <c r="S1267" s="778"/>
    </row>
    <row r="1268" spans="14:19" ht="27.95" customHeight="1">
      <c r="N1268" s="778"/>
      <c r="O1268" s="778"/>
      <c r="P1268" s="778"/>
      <c r="Q1268" s="778"/>
      <c r="R1268" s="778"/>
      <c r="S1268" s="778"/>
    </row>
    <row r="1269" spans="14:19" ht="27.95" customHeight="1">
      <c r="N1269" s="778"/>
      <c r="O1269" s="778"/>
      <c r="P1269" s="778"/>
      <c r="Q1269" s="778"/>
      <c r="R1269" s="778"/>
      <c r="S1269" s="778"/>
    </row>
    <row r="1270" spans="14:19" ht="27.95" customHeight="1">
      <c r="N1270" s="778"/>
      <c r="O1270" s="778"/>
      <c r="P1270" s="778"/>
      <c r="Q1270" s="778"/>
      <c r="R1270" s="778"/>
      <c r="S1270" s="778"/>
    </row>
    <row r="1271" spans="14:19" ht="27.95" customHeight="1">
      <c r="N1271" s="778"/>
      <c r="O1271" s="778"/>
      <c r="P1271" s="778"/>
      <c r="Q1271" s="778"/>
      <c r="R1271" s="778"/>
      <c r="S1271" s="778"/>
    </row>
    <row r="1272" spans="14:19" ht="27.95" customHeight="1">
      <c r="N1272" s="778"/>
      <c r="O1272" s="778"/>
      <c r="P1272" s="778"/>
      <c r="Q1272" s="778"/>
      <c r="R1272" s="778"/>
      <c r="S1272" s="778"/>
    </row>
    <row r="1273" spans="14:19" ht="27.95" customHeight="1">
      <c r="N1273" s="778"/>
      <c r="O1273" s="778"/>
      <c r="P1273" s="778"/>
      <c r="Q1273" s="778"/>
      <c r="R1273" s="778"/>
      <c r="S1273" s="778"/>
    </row>
    <row r="1274" spans="14:19" ht="27.95" customHeight="1">
      <c r="N1274" s="778"/>
      <c r="O1274" s="778"/>
      <c r="P1274" s="778"/>
      <c r="Q1274" s="778"/>
      <c r="R1274" s="778"/>
      <c r="S1274" s="778"/>
    </row>
    <row r="1275" spans="14:19" ht="27.95" customHeight="1">
      <c r="N1275" s="778"/>
      <c r="O1275" s="778"/>
      <c r="P1275" s="778"/>
      <c r="Q1275" s="778"/>
      <c r="R1275" s="778"/>
      <c r="S1275" s="778"/>
    </row>
    <row r="1276" spans="14:19" ht="27.95" customHeight="1">
      <c r="N1276" s="778"/>
      <c r="O1276" s="778"/>
      <c r="P1276" s="778"/>
      <c r="Q1276" s="778"/>
      <c r="R1276" s="778"/>
      <c r="S1276" s="778"/>
    </row>
    <row r="1277" spans="14:19" ht="27.95" customHeight="1">
      <c r="N1277" s="778"/>
      <c r="O1277" s="778"/>
      <c r="P1277" s="778"/>
      <c r="Q1277" s="778"/>
      <c r="R1277" s="778"/>
      <c r="S1277" s="778"/>
    </row>
    <row r="1278" spans="14:19" ht="27.95" customHeight="1">
      <c r="N1278" s="778"/>
      <c r="O1278" s="778"/>
      <c r="P1278" s="778"/>
      <c r="Q1278" s="778"/>
      <c r="R1278" s="778"/>
      <c r="S1278" s="778"/>
    </row>
    <row r="1279" spans="14:19" ht="27.95" customHeight="1">
      <c r="N1279" s="778"/>
      <c r="O1279" s="778"/>
      <c r="P1279" s="778"/>
      <c r="Q1279" s="778"/>
      <c r="R1279" s="778"/>
      <c r="S1279" s="778"/>
    </row>
    <row r="1280" spans="14:19" ht="27.95" customHeight="1">
      <c r="N1280" s="778"/>
      <c r="O1280" s="778"/>
      <c r="P1280" s="778"/>
      <c r="Q1280" s="778"/>
      <c r="R1280" s="778"/>
      <c r="S1280" s="778"/>
    </row>
    <row r="1281" spans="14:19" ht="27.95" customHeight="1">
      <c r="N1281" s="778"/>
      <c r="O1281" s="778"/>
      <c r="P1281" s="778"/>
      <c r="Q1281" s="778"/>
      <c r="R1281" s="778"/>
      <c r="S1281" s="778"/>
    </row>
    <row r="1282" spans="14:19" ht="27.95" customHeight="1">
      <c r="N1282" s="778"/>
      <c r="O1282" s="778"/>
      <c r="P1282" s="778"/>
      <c r="Q1282" s="778"/>
      <c r="R1282" s="778"/>
      <c r="S1282" s="778"/>
    </row>
    <row r="1283" spans="14:19" ht="27.95" customHeight="1">
      <c r="N1283" s="778"/>
      <c r="O1283" s="778"/>
      <c r="P1283" s="778"/>
      <c r="Q1283" s="778"/>
      <c r="R1283" s="778"/>
      <c r="S1283" s="778"/>
    </row>
    <row r="1284" spans="14:19" ht="27.95" customHeight="1">
      <c r="N1284" s="778"/>
      <c r="O1284" s="778"/>
      <c r="P1284" s="778"/>
      <c r="Q1284" s="778"/>
      <c r="R1284" s="778"/>
      <c r="S1284" s="778"/>
    </row>
    <row r="1285" spans="14:19" ht="27.95" customHeight="1">
      <c r="N1285" s="778"/>
      <c r="O1285" s="778"/>
      <c r="P1285" s="778"/>
      <c r="Q1285" s="778"/>
      <c r="R1285" s="778"/>
      <c r="S1285" s="778"/>
    </row>
    <row r="1286" spans="14:19" ht="27.95" customHeight="1">
      <c r="N1286" s="778"/>
      <c r="O1286" s="778"/>
      <c r="P1286" s="778"/>
      <c r="Q1286" s="778"/>
      <c r="R1286" s="778"/>
      <c r="S1286" s="778"/>
    </row>
    <row r="1287" spans="14:19" ht="27.95" customHeight="1">
      <c r="N1287" s="778"/>
      <c r="O1287" s="778"/>
      <c r="P1287" s="778"/>
      <c r="Q1287" s="778"/>
      <c r="R1287" s="778"/>
      <c r="S1287" s="778"/>
    </row>
    <row r="1288" spans="14:19" ht="27.95" customHeight="1">
      <c r="N1288" s="778"/>
      <c r="O1288" s="778"/>
      <c r="P1288" s="778"/>
      <c r="Q1288" s="778"/>
      <c r="R1288" s="778"/>
      <c r="S1288" s="778"/>
    </row>
    <row r="1289" spans="14:19" ht="27.95" customHeight="1">
      <c r="N1289" s="778"/>
      <c r="O1289" s="778"/>
      <c r="P1289" s="778"/>
      <c r="Q1289" s="778"/>
      <c r="R1289" s="778"/>
      <c r="S1289" s="778"/>
    </row>
    <row r="1290" spans="14:19" ht="27.95" customHeight="1">
      <c r="N1290" s="778"/>
      <c r="O1290" s="778"/>
      <c r="P1290" s="778"/>
      <c r="Q1290" s="778"/>
      <c r="R1290" s="778"/>
      <c r="S1290" s="778"/>
    </row>
    <row r="1291" spans="14:19" ht="27.95" customHeight="1">
      <c r="N1291" s="778"/>
      <c r="O1291" s="778"/>
      <c r="P1291" s="778"/>
      <c r="Q1291" s="778"/>
      <c r="R1291" s="778"/>
      <c r="S1291" s="778"/>
    </row>
    <row r="1292" spans="14:19" ht="27.95" customHeight="1">
      <c r="N1292" s="778"/>
      <c r="O1292" s="778"/>
      <c r="P1292" s="778"/>
      <c r="Q1292" s="778"/>
      <c r="R1292" s="778"/>
      <c r="S1292" s="778"/>
    </row>
    <row r="1293" spans="14:19" ht="27.95" customHeight="1">
      <c r="N1293" s="778"/>
      <c r="O1293" s="778"/>
      <c r="P1293" s="778"/>
      <c r="Q1293" s="778"/>
      <c r="R1293" s="778"/>
      <c r="S1293" s="778"/>
    </row>
    <row r="1294" spans="14:19" ht="27.95" customHeight="1">
      <c r="N1294" s="778"/>
      <c r="O1294" s="778"/>
      <c r="P1294" s="778"/>
      <c r="Q1294" s="778"/>
      <c r="R1294" s="778"/>
      <c r="S1294" s="778"/>
    </row>
    <row r="1295" spans="14:19" ht="27.95" customHeight="1">
      <c r="N1295" s="778"/>
      <c r="O1295" s="778"/>
      <c r="P1295" s="778"/>
      <c r="Q1295" s="778"/>
      <c r="R1295" s="778"/>
      <c r="S1295" s="778"/>
    </row>
    <row r="1296" spans="14:19" ht="27.95" customHeight="1">
      <c r="N1296" s="778"/>
      <c r="O1296" s="778"/>
      <c r="P1296" s="778"/>
      <c r="Q1296" s="778"/>
      <c r="R1296" s="778"/>
      <c r="S1296" s="778"/>
    </row>
    <row r="1297" spans="14:19" ht="27.95" customHeight="1">
      <c r="N1297" s="778"/>
      <c r="O1297" s="778"/>
      <c r="P1297" s="778"/>
      <c r="Q1297" s="778"/>
      <c r="R1297" s="778"/>
      <c r="S1297" s="778"/>
    </row>
    <row r="1298" spans="14:19" ht="27.95" customHeight="1">
      <c r="N1298" s="778"/>
      <c r="O1298" s="778"/>
      <c r="P1298" s="778"/>
      <c r="Q1298" s="778"/>
      <c r="R1298" s="778"/>
      <c r="S1298" s="778"/>
    </row>
    <row r="1299" spans="14:19" ht="27.95" customHeight="1">
      <c r="N1299" s="778"/>
      <c r="O1299" s="778"/>
      <c r="P1299" s="778"/>
      <c r="Q1299" s="778"/>
      <c r="R1299" s="778"/>
      <c r="S1299" s="778"/>
    </row>
    <row r="1300" spans="14:19" ht="27.95" customHeight="1">
      <c r="N1300" s="778"/>
      <c r="O1300" s="778"/>
      <c r="P1300" s="778"/>
      <c r="Q1300" s="778"/>
      <c r="R1300" s="778"/>
      <c r="S1300" s="778"/>
    </row>
    <row r="1301" spans="14:19" ht="27.95" customHeight="1">
      <c r="N1301" s="778"/>
      <c r="O1301" s="778"/>
      <c r="P1301" s="778"/>
      <c r="Q1301" s="778"/>
      <c r="R1301" s="778"/>
      <c r="S1301" s="778"/>
    </row>
    <row r="1302" spans="14:19" ht="27.95" customHeight="1">
      <c r="N1302" s="778"/>
      <c r="O1302" s="778"/>
      <c r="P1302" s="778"/>
      <c r="Q1302" s="778"/>
      <c r="R1302" s="778"/>
      <c r="S1302" s="778"/>
    </row>
    <row r="1303" spans="14:19" ht="27.95" customHeight="1">
      <c r="N1303" s="778"/>
      <c r="O1303" s="778"/>
      <c r="P1303" s="778"/>
      <c r="Q1303" s="778"/>
      <c r="R1303" s="778"/>
      <c r="S1303" s="778"/>
    </row>
    <row r="1304" spans="14:19" ht="27.95" customHeight="1">
      <c r="N1304" s="778"/>
      <c r="O1304" s="778"/>
      <c r="P1304" s="778"/>
      <c r="Q1304" s="778"/>
      <c r="R1304" s="778"/>
      <c r="S1304" s="778"/>
    </row>
    <row r="1305" spans="14:19" ht="27.95" customHeight="1">
      <c r="N1305" s="778"/>
      <c r="O1305" s="778"/>
      <c r="P1305" s="778"/>
      <c r="Q1305" s="778"/>
      <c r="R1305" s="778"/>
      <c r="S1305" s="778"/>
    </row>
    <row r="1306" spans="14:19" ht="27.95" customHeight="1">
      <c r="N1306" s="778"/>
      <c r="O1306" s="778"/>
      <c r="P1306" s="778"/>
      <c r="Q1306" s="778"/>
      <c r="R1306" s="778"/>
      <c r="S1306" s="778"/>
    </row>
    <row r="1307" spans="14:19" ht="27.95" customHeight="1">
      <c r="N1307" s="778"/>
      <c r="O1307" s="778"/>
      <c r="P1307" s="778"/>
      <c r="Q1307" s="778"/>
      <c r="R1307" s="778"/>
      <c r="S1307" s="778"/>
    </row>
    <row r="1308" spans="14:19" ht="27.95" customHeight="1">
      <c r="N1308" s="778"/>
      <c r="O1308" s="778"/>
      <c r="P1308" s="778"/>
      <c r="Q1308" s="778"/>
      <c r="R1308" s="778"/>
      <c r="S1308" s="778"/>
    </row>
    <row r="1309" spans="14:19" ht="27.95" customHeight="1">
      <c r="N1309" s="778"/>
      <c r="O1309" s="778"/>
      <c r="P1309" s="778"/>
      <c r="Q1309" s="778"/>
      <c r="R1309" s="778"/>
      <c r="S1309" s="778"/>
    </row>
    <row r="1310" spans="14:19" ht="27.95" customHeight="1">
      <c r="N1310" s="778"/>
      <c r="O1310" s="778"/>
      <c r="P1310" s="778"/>
      <c r="Q1310" s="778"/>
      <c r="R1310" s="778"/>
      <c r="S1310" s="778"/>
    </row>
    <row r="1311" spans="14:19" ht="27.95" customHeight="1">
      <c r="N1311" s="778"/>
      <c r="O1311" s="778"/>
      <c r="P1311" s="778"/>
      <c r="Q1311" s="778"/>
      <c r="R1311" s="778"/>
      <c r="S1311" s="778"/>
    </row>
    <row r="1312" spans="14:19" ht="27.95" customHeight="1">
      <c r="N1312" s="778"/>
      <c r="O1312" s="778"/>
      <c r="P1312" s="778"/>
      <c r="Q1312" s="778"/>
      <c r="R1312" s="778"/>
      <c r="S1312" s="778"/>
    </row>
    <row r="1313" spans="14:19" ht="27.95" customHeight="1">
      <c r="N1313" s="778"/>
      <c r="O1313" s="778"/>
      <c r="P1313" s="778"/>
      <c r="Q1313" s="778"/>
      <c r="R1313" s="778"/>
      <c r="S1313" s="778"/>
    </row>
    <row r="1314" spans="14:19" ht="27.95" customHeight="1">
      <c r="N1314" s="778"/>
      <c r="O1314" s="778"/>
      <c r="P1314" s="778"/>
      <c r="Q1314" s="778"/>
      <c r="R1314" s="778"/>
      <c r="S1314" s="778"/>
    </row>
    <row r="1315" spans="14:19" ht="27.95" customHeight="1">
      <c r="N1315" s="778"/>
      <c r="O1315" s="778"/>
      <c r="P1315" s="778"/>
      <c r="Q1315" s="778"/>
      <c r="R1315" s="778"/>
      <c r="S1315" s="778"/>
    </row>
    <row r="1316" spans="14:19" ht="27.95" customHeight="1">
      <c r="N1316" s="778"/>
      <c r="O1316" s="778"/>
      <c r="P1316" s="778"/>
      <c r="Q1316" s="778"/>
      <c r="R1316" s="778"/>
      <c r="S1316" s="778"/>
    </row>
    <row r="1317" spans="14:19" ht="27.95" customHeight="1">
      <c r="N1317" s="778"/>
      <c r="O1317" s="778"/>
      <c r="P1317" s="778"/>
      <c r="Q1317" s="778"/>
      <c r="R1317" s="778"/>
      <c r="S1317" s="778"/>
    </row>
    <row r="1318" spans="14:19" ht="27.95" customHeight="1">
      <c r="N1318" s="778"/>
      <c r="O1318" s="778"/>
      <c r="P1318" s="778"/>
      <c r="Q1318" s="778"/>
      <c r="R1318" s="778"/>
      <c r="S1318" s="778"/>
    </row>
    <row r="1319" spans="14:19" ht="27.95" customHeight="1">
      <c r="N1319" s="778"/>
      <c r="O1319" s="778"/>
      <c r="P1319" s="778"/>
      <c r="Q1319" s="778"/>
      <c r="R1319" s="778"/>
      <c r="S1319" s="778"/>
    </row>
    <row r="1320" spans="14:19" ht="27.95" customHeight="1">
      <c r="N1320" s="778"/>
      <c r="O1320" s="778"/>
      <c r="P1320" s="778"/>
      <c r="Q1320" s="778"/>
      <c r="R1320" s="778"/>
      <c r="S1320" s="778"/>
    </row>
    <row r="1321" spans="14:19" ht="27.95" customHeight="1">
      <c r="N1321" s="778"/>
      <c r="O1321" s="778"/>
      <c r="P1321" s="778"/>
      <c r="Q1321" s="778"/>
      <c r="R1321" s="778"/>
      <c r="S1321" s="778"/>
    </row>
    <row r="1322" spans="14:19" ht="27.95" customHeight="1">
      <c r="N1322" s="778"/>
      <c r="O1322" s="778"/>
      <c r="P1322" s="778"/>
      <c r="Q1322" s="778"/>
      <c r="R1322" s="778"/>
      <c r="S1322" s="778"/>
    </row>
    <row r="1323" spans="14:19" ht="27.95" customHeight="1">
      <c r="N1323" s="778"/>
      <c r="O1323" s="778"/>
      <c r="P1323" s="778"/>
      <c r="Q1323" s="778"/>
      <c r="R1323" s="778"/>
      <c r="S1323" s="778"/>
    </row>
    <row r="1324" spans="14:19" ht="27.95" customHeight="1">
      <c r="N1324" s="778"/>
      <c r="O1324" s="778"/>
      <c r="P1324" s="778"/>
      <c r="Q1324" s="778"/>
      <c r="R1324" s="778"/>
      <c r="S1324" s="778"/>
    </row>
    <row r="1325" spans="14:19" ht="27.95" customHeight="1">
      <c r="N1325" s="778"/>
      <c r="O1325" s="778"/>
      <c r="P1325" s="778"/>
      <c r="Q1325" s="778"/>
      <c r="R1325" s="778"/>
      <c r="S1325" s="778"/>
    </row>
    <row r="1326" spans="14:19" ht="27.95" customHeight="1">
      <c r="N1326" s="778"/>
      <c r="O1326" s="778"/>
      <c r="P1326" s="778"/>
      <c r="Q1326" s="778"/>
      <c r="R1326" s="778"/>
      <c r="S1326" s="778"/>
    </row>
    <row r="1327" spans="14:19" ht="27.95" customHeight="1">
      <c r="N1327" s="778"/>
      <c r="O1327" s="778"/>
      <c r="P1327" s="778"/>
      <c r="Q1327" s="778"/>
      <c r="R1327" s="778"/>
      <c r="S1327" s="778"/>
    </row>
    <row r="1328" spans="14:19" ht="27.95" customHeight="1">
      <c r="N1328" s="778"/>
      <c r="O1328" s="778"/>
      <c r="P1328" s="778"/>
      <c r="Q1328" s="778"/>
      <c r="R1328" s="778"/>
      <c r="S1328" s="778"/>
    </row>
    <row r="1329" spans="14:19" ht="27.95" customHeight="1">
      <c r="N1329" s="778"/>
      <c r="O1329" s="778"/>
      <c r="P1329" s="778"/>
      <c r="Q1329" s="778"/>
      <c r="R1329" s="778"/>
      <c r="S1329" s="778"/>
    </row>
    <row r="1330" spans="14:19" ht="27.95" customHeight="1">
      <c r="N1330" s="778"/>
      <c r="O1330" s="778"/>
      <c r="P1330" s="778"/>
      <c r="Q1330" s="778"/>
      <c r="R1330" s="778"/>
      <c r="S1330" s="778"/>
    </row>
    <row r="1331" spans="14:19" ht="27.95" customHeight="1">
      <c r="N1331" s="778"/>
      <c r="O1331" s="778"/>
      <c r="P1331" s="778"/>
      <c r="Q1331" s="778"/>
      <c r="R1331" s="778"/>
      <c r="S1331" s="778"/>
    </row>
    <row r="1332" spans="14:19" ht="27.95" customHeight="1">
      <c r="N1332" s="778"/>
      <c r="O1332" s="778"/>
      <c r="P1332" s="778"/>
      <c r="Q1332" s="778"/>
      <c r="R1332" s="778"/>
      <c r="S1332" s="778"/>
    </row>
    <row r="1333" spans="14:19" ht="27.95" customHeight="1">
      <c r="N1333" s="778"/>
      <c r="O1333" s="778"/>
      <c r="P1333" s="778"/>
      <c r="Q1333" s="778"/>
      <c r="R1333" s="778"/>
      <c r="S1333" s="778"/>
    </row>
    <row r="1334" spans="14:19" ht="27.95" customHeight="1">
      <c r="N1334" s="778"/>
      <c r="O1334" s="778"/>
      <c r="P1334" s="778"/>
      <c r="Q1334" s="778"/>
      <c r="R1334" s="778"/>
      <c r="S1334" s="778"/>
    </row>
    <row r="1335" spans="14:19" ht="27.95" customHeight="1">
      <c r="N1335" s="778"/>
      <c r="O1335" s="778"/>
      <c r="P1335" s="778"/>
      <c r="Q1335" s="778"/>
      <c r="R1335" s="778"/>
      <c r="S1335" s="778"/>
    </row>
    <row r="1336" spans="14:19" ht="27.95" customHeight="1">
      <c r="N1336" s="778"/>
      <c r="O1336" s="778"/>
      <c r="P1336" s="778"/>
      <c r="Q1336" s="778"/>
      <c r="R1336" s="778"/>
      <c r="S1336" s="778"/>
    </row>
    <row r="1337" spans="14:19" ht="27.95" customHeight="1">
      <c r="N1337" s="778"/>
      <c r="O1337" s="778"/>
      <c r="P1337" s="778"/>
      <c r="Q1337" s="778"/>
      <c r="R1337" s="778"/>
      <c r="S1337" s="778"/>
    </row>
    <row r="1338" spans="14:19" ht="27.95" customHeight="1">
      <c r="N1338" s="778"/>
      <c r="O1338" s="778"/>
      <c r="P1338" s="778"/>
      <c r="Q1338" s="778"/>
      <c r="R1338" s="778"/>
      <c r="S1338" s="778"/>
    </row>
    <row r="1339" spans="14:19" ht="27.95" customHeight="1">
      <c r="N1339" s="778"/>
      <c r="O1339" s="778"/>
      <c r="P1339" s="778"/>
      <c r="Q1339" s="778"/>
      <c r="R1339" s="778"/>
      <c r="S1339" s="778"/>
    </row>
    <row r="1340" spans="14:19" ht="27.95" customHeight="1">
      <c r="N1340" s="778"/>
      <c r="O1340" s="778"/>
      <c r="P1340" s="778"/>
      <c r="Q1340" s="778"/>
      <c r="R1340" s="778"/>
      <c r="S1340" s="778"/>
    </row>
    <row r="1341" spans="14:19" ht="27.95" customHeight="1">
      <c r="N1341" s="778"/>
      <c r="O1341" s="778"/>
      <c r="P1341" s="778"/>
      <c r="Q1341" s="778"/>
      <c r="R1341" s="778"/>
      <c r="S1341" s="778"/>
    </row>
    <row r="1342" spans="14:19" ht="27.95" customHeight="1">
      <c r="N1342" s="778"/>
      <c r="O1342" s="778"/>
      <c r="P1342" s="778"/>
      <c r="Q1342" s="778"/>
      <c r="R1342" s="778"/>
      <c r="S1342" s="778"/>
    </row>
    <row r="1343" spans="14:19" ht="27.95" customHeight="1">
      <c r="N1343" s="778"/>
      <c r="O1343" s="778"/>
      <c r="P1343" s="778"/>
      <c r="Q1343" s="778"/>
      <c r="R1343" s="778"/>
      <c r="S1343" s="778"/>
    </row>
    <row r="1344" spans="14:19" ht="27.95" customHeight="1">
      <c r="N1344" s="778"/>
      <c r="O1344" s="778"/>
      <c r="P1344" s="778"/>
      <c r="Q1344" s="778"/>
      <c r="R1344" s="778"/>
      <c r="S1344" s="778"/>
    </row>
    <row r="1345" spans="14:19" ht="27.95" customHeight="1">
      <c r="N1345" s="778"/>
      <c r="O1345" s="778"/>
      <c r="P1345" s="778"/>
      <c r="Q1345" s="778"/>
      <c r="R1345" s="778"/>
      <c r="S1345" s="778"/>
    </row>
    <row r="1346" spans="14:19" ht="27.95" customHeight="1">
      <c r="N1346" s="778"/>
      <c r="O1346" s="778"/>
      <c r="P1346" s="778"/>
      <c r="Q1346" s="778"/>
      <c r="R1346" s="778"/>
      <c r="S1346" s="778"/>
    </row>
    <row r="1347" spans="14:19" ht="27.95" customHeight="1">
      <c r="N1347" s="778"/>
      <c r="O1347" s="778"/>
      <c r="P1347" s="778"/>
      <c r="Q1347" s="778"/>
      <c r="R1347" s="778"/>
      <c r="S1347" s="778"/>
    </row>
    <row r="1348" spans="14:19" ht="27.95" customHeight="1">
      <c r="N1348" s="778"/>
      <c r="O1348" s="778"/>
      <c r="P1348" s="778"/>
      <c r="Q1348" s="778"/>
      <c r="R1348" s="778"/>
      <c r="S1348" s="778"/>
    </row>
    <row r="1349" spans="14:19" ht="27.95" customHeight="1">
      <c r="N1349" s="778"/>
      <c r="O1349" s="778"/>
      <c r="P1349" s="778"/>
      <c r="Q1349" s="778"/>
      <c r="R1349" s="778"/>
      <c r="S1349" s="778"/>
    </row>
    <row r="1350" spans="14:19" ht="27.95" customHeight="1">
      <c r="N1350" s="778"/>
      <c r="O1350" s="778"/>
      <c r="P1350" s="778"/>
      <c r="Q1350" s="778"/>
      <c r="R1350" s="778"/>
      <c r="S1350" s="778"/>
    </row>
    <row r="1351" spans="14:19" ht="27.95" customHeight="1">
      <c r="N1351" s="778"/>
      <c r="O1351" s="778"/>
      <c r="P1351" s="778"/>
      <c r="Q1351" s="778"/>
      <c r="R1351" s="778"/>
      <c r="S1351" s="778"/>
    </row>
    <row r="1352" spans="14:19" ht="27.95" customHeight="1">
      <c r="N1352" s="778"/>
      <c r="O1352" s="778"/>
      <c r="P1352" s="778"/>
      <c r="Q1352" s="778"/>
      <c r="R1352" s="778"/>
      <c r="S1352" s="778"/>
    </row>
    <row r="1353" spans="14:19" ht="27.95" customHeight="1">
      <c r="N1353" s="778"/>
      <c r="O1353" s="778"/>
      <c r="P1353" s="778"/>
      <c r="Q1353" s="778"/>
      <c r="R1353" s="778"/>
      <c r="S1353" s="778"/>
    </row>
    <row r="1354" spans="14:19" ht="27.95" customHeight="1">
      <c r="N1354" s="778"/>
      <c r="O1354" s="778"/>
      <c r="P1354" s="778"/>
      <c r="Q1354" s="778"/>
      <c r="R1354" s="778"/>
      <c r="S1354" s="778"/>
    </row>
    <row r="1355" spans="14:19" ht="27.95" customHeight="1">
      <c r="N1355" s="778"/>
      <c r="O1355" s="778"/>
      <c r="P1355" s="778"/>
      <c r="Q1355" s="778"/>
      <c r="R1355" s="778"/>
      <c r="S1355" s="778"/>
    </row>
    <row r="1356" spans="14:19" ht="27.95" customHeight="1">
      <c r="N1356" s="778"/>
      <c r="O1356" s="778"/>
      <c r="P1356" s="778"/>
      <c r="Q1356" s="778"/>
      <c r="R1356" s="778"/>
      <c r="S1356" s="778"/>
    </row>
    <row r="1357" spans="14:19" ht="27.95" customHeight="1">
      <c r="N1357" s="778"/>
      <c r="O1357" s="778"/>
      <c r="P1357" s="778"/>
      <c r="Q1357" s="778"/>
      <c r="R1357" s="778"/>
      <c r="S1357" s="778"/>
    </row>
    <row r="1358" spans="14:19" ht="27.95" customHeight="1">
      <c r="N1358" s="778"/>
      <c r="O1358" s="778"/>
      <c r="P1358" s="778"/>
      <c r="Q1358" s="778"/>
      <c r="R1358" s="778"/>
      <c r="S1358" s="778"/>
    </row>
    <row r="1359" spans="14:19" ht="27.95" customHeight="1">
      <c r="N1359" s="778"/>
      <c r="O1359" s="778"/>
      <c r="P1359" s="778"/>
      <c r="Q1359" s="778"/>
      <c r="R1359" s="778"/>
      <c r="S1359" s="778"/>
    </row>
    <row r="1360" spans="14:19" ht="27.95" customHeight="1">
      <c r="N1360" s="778"/>
      <c r="O1360" s="778"/>
      <c r="P1360" s="778"/>
      <c r="Q1360" s="778"/>
      <c r="R1360" s="778"/>
      <c r="S1360" s="778"/>
    </row>
    <row r="1361" spans="14:19" ht="27.95" customHeight="1">
      <c r="N1361" s="778"/>
      <c r="O1361" s="778"/>
      <c r="P1361" s="778"/>
      <c r="Q1361" s="778"/>
      <c r="R1361" s="778"/>
      <c r="S1361" s="778"/>
    </row>
    <row r="1362" spans="14:19" ht="27.95" customHeight="1">
      <c r="N1362" s="778"/>
      <c r="O1362" s="778"/>
      <c r="P1362" s="778"/>
      <c r="Q1362" s="778"/>
      <c r="R1362" s="778"/>
      <c r="S1362" s="778"/>
    </row>
    <row r="1363" spans="14:19" ht="27.95" customHeight="1">
      <c r="N1363" s="778"/>
      <c r="O1363" s="778"/>
      <c r="P1363" s="778"/>
      <c r="Q1363" s="778"/>
      <c r="R1363" s="778"/>
      <c r="S1363" s="778"/>
    </row>
    <row r="1364" spans="14:19" ht="27.95" customHeight="1">
      <c r="N1364" s="778"/>
      <c r="O1364" s="778"/>
      <c r="P1364" s="778"/>
      <c r="Q1364" s="778"/>
      <c r="R1364" s="778"/>
      <c r="S1364" s="778"/>
    </row>
    <row r="1365" spans="14:19" ht="27.95" customHeight="1">
      <c r="N1365" s="778"/>
      <c r="O1365" s="778"/>
      <c r="P1365" s="778"/>
      <c r="Q1365" s="778"/>
      <c r="R1365" s="778"/>
      <c r="S1365" s="778"/>
    </row>
    <row r="1366" spans="14:19" ht="27.95" customHeight="1">
      <c r="N1366" s="778"/>
      <c r="O1366" s="778"/>
      <c r="P1366" s="778"/>
      <c r="Q1366" s="778"/>
      <c r="R1366" s="778"/>
      <c r="S1366" s="778"/>
    </row>
    <row r="1367" spans="14:19" ht="27.95" customHeight="1">
      <c r="N1367" s="778"/>
      <c r="O1367" s="778"/>
      <c r="P1367" s="778"/>
      <c r="Q1367" s="778"/>
      <c r="R1367" s="778"/>
      <c r="S1367" s="778"/>
    </row>
    <row r="1368" spans="14:19" ht="27.95" customHeight="1">
      <c r="N1368" s="778"/>
      <c r="O1368" s="778"/>
      <c r="P1368" s="778"/>
      <c r="Q1368" s="778"/>
      <c r="R1368" s="778"/>
      <c r="S1368" s="778"/>
    </row>
    <row r="1369" spans="14:19" ht="27.95" customHeight="1">
      <c r="N1369" s="778"/>
      <c r="O1369" s="778"/>
      <c r="P1369" s="778"/>
      <c r="Q1369" s="778"/>
      <c r="R1369" s="778"/>
      <c r="S1369" s="778"/>
    </row>
    <row r="1370" spans="14:19" ht="27.95" customHeight="1">
      <c r="N1370" s="778"/>
      <c r="O1370" s="778"/>
      <c r="P1370" s="778"/>
      <c r="Q1370" s="778"/>
      <c r="R1370" s="778"/>
      <c r="S1370" s="778"/>
    </row>
    <row r="1371" spans="14:19" ht="27.95" customHeight="1">
      <c r="N1371" s="778"/>
      <c r="O1371" s="778"/>
      <c r="P1371" s="778"/>
      <c r="Q1371" s="778"/>
      <c r="R1371" s="778"/>
      <c r="S1371" s="778"/>
    </row>
    <row r="1372" spans="14:19" ht="27.95" customHeight="1">
      <c r="N1372" s="778"/>
      <c r="O1372" s="778"/>
      <c r="P1372" s="778"/>
      <c r="Q1372" s="778"/>
      <c r="R1372" s="778"/>
      <c r="S1372" s="778"/>
    </row>
    <row r="1373" spans="14:19" ht="27.95" customHeight="1">
      <c r="N1373" s="778"/>
      <c r="O1373" s="778"/>
      <c r="P1373" s="778"/>
      <c r="Q1373" s="778"/>
      <c r="R1373" s="778"/>
      <c r="S1373" s="778"/>
    </row>
    <row r="1374" spans="14:19" ht="27.95" customHeight="1">
      <c r="N1374" s="778"/>
      <c r="O1374" s="778"/>
      <c r="P1374" s="778"/>
      <c r="Q1374" s="778"/>
      <c r="R1374" s="778"/>
      <c r="S1374" s="778"/>
    </row>
    <row r="1375" spans="14:19" ht="27.95" customHeight="1">
      <c r="N1375" s="778"/>
      <c r="O1375" s="778"/>
      <c r="P1375" s="778"/>
      <c r="Q1375" s="778"/>
      <c r="R1375" s="778"/>
      <c r="S1375" s="778"/>
    </row>
    <row r="1376" spans="14:19" ht="27.95" customHeight="1">
      <c r="N1376" s="778"/>
      <c r="O1376" s="778"/>
      <c r="P1376" s="778"/>
      <c r="Q1376" s="778"/>
      <c r="R1376" s="778"/>
      <c r="S1376" s="778"/>
    </row>
    <row r="1377" spans="14:19" ht="27.95" customHeight="1">
      <c r="N1377" s="778"/>
      <c r="O1377" s="778"/>
      <c r="P1377" s="778"/>
      <c r="Q1377" s="778"/>
      <c r="R1377" s="778"/>
      <c r="S1377" s="778"/>
    </row>
    <row r="1378" spans="14:19" ht="27.95" customHeight="1">
      <c r="N1378" s="778"/>
      <c r="O1378" s="778"/>
      <c r="P1378" s="778"/>
      <c r="Q1378" s="778"/>
      <c r="R1378" s="778"/>
      <c r="S1378" s="778"/>
    </row>
    <row r="1379" spans="14:19" ht="27.95" customHeight="1">
      <c r="N1379" s="778"/>
      <c r="O1379" s="778"/>
      <c r="P1379" s="778"/>
      <c r="Q1379" s="778"/>
      <c r="R1379" s="778"/>
      <c r="S1379" s="778"/>
    </row>
    <row r="1380" spans="14:19" ht="27.95" customHeight="1">
      <c r="N1380" s="778"/>
      <c r="O1380" s="778"/>
      <c r="P1380" s="778"/>
      <c r="Q1380" s="778"/>
      <c r="R1380" s="778"/>
      <c r="S1380" s="778"/>
    </row>
    <row r="1381" spans="14:19" ht="27.95" customHeight="1">
      <c r="N1381" s="778"/>
      <c r="O1381" s="778"/>
      <c r="P1381" s="778"/>
      <c r="Q1381" s="778"/>
      <c r="R1381" s="778"/>
      <c r="S1381" s="778"/>
    </row>
    <row r="1382" spans="14:19" ht="27.95" customHeight="1">
      <c r="N1382" s="778"/>
      <c r="O1382" s="778"/>
      <c r="P1382" s="778"/>
      <c r="Q1382" s="778"/>
      <c r="R1382" s="778"/>
      <c r="S1382" s="778"/>
    </row>
    <row r="1383" spans="14:19" ht="27.95" customHeight="1">
      <c r="N1383" s="778"/>
      <c r="O1383" s="778"/>
      <c r="P1383" s="778"/>
      <c r="Q1383" s="778"/>
      <c r="R1383" s="778"/>
      <c r="S1383" s="778"/>
    </row>
    <row r="1384" spans="14:19" ht="27.95" customHeight="1">
      <c r="N1384" s="778"/>
      <c r="O1384" s="778"/>
      <c r="P1384" s="778"/>
      <c r="Q1384" s="778"/>
      <c r="R1384" s="778"/>
      <c r="S1384" s="778"/>
    </row>
    <row r="1385" spans="14:19" ht="27.95" customHeight="1">
      <c r="N1385" s="778"/>
      <c r="O1385" s="778"/>
      <c r="P1385" s="778"/>
      <c r="Q1385" s="778"/>
      <c r="R1385" s="778"/>
      <c r="S1385" s="778"/>
    </row>
    <row r="1386" spans="14:19" ht="27.95" customHeight="1">
      <c r="N1386" s="778"/>
      <c r="O1386" s="778"/>
      <c r="P1386" s="778"/>
      <c r="Q1386" s="778"/>
      <c r="R1386" s="778"/>
      <c r="S1386" s="778"/>
    </row>
    <row r="1387" spans="14:19" ht="27.95" customHeight="1">
      <c r="N1387" s="778"/>
      <c r="O1387" s="778"/>
      <c r="P1387" s="778"/>
      <c r="Q1387" s="778"/>
      <c r="R1387" s="778"/>
      <c r="S1387" s="778"/>
    </row>
    <row r="1388" spans="14:19" ht="27.95" customHeight="1">
      <c r="N1388" s="778"/>
      <c r="O1388" s="778"/>
      <c r="P1388" s="778"/>
      <c r="Q1388" s="778"/>
      <c r="R1388" s="778"/>
      <c r="S1388" s="778"/>
    </row>
    <row r="1389" spans="14:19" ht="27.95" customHeight="1">
      <c r="N1389" s="778"/>
      <c r="O1389" s="778"/>
      <c r="P1389" s="778"/>
      <c r="Q1389" s="778"/>
      <c r="R1389" s="778"/>
      <c r="S1389" s="778"/>
    </row>
    <row r="1390" spans="14:19" ht="27.95" customHeight="1">
      <c r="N1390" s="778"/>
      <c r="O1390" s="778"/>
      <c r="P1390" s="778"/>
      <c r="Q1390" s="778"/>
      <c r="R1390" s="778"/>
      <c r="S1390" s="778"/>
    </row>
    <row r="1391" spans="14:19" ht="27.95" customHeight="1">
      <c r="N1391" s="778"/>
      <c r="O1391" s="778"/>
      <c r="P1391" s="778"/>
      <c r="Q1391" s="778"/>
      <c r="R1391" s="778"/>
      <c r="S1391" s="778"/>
    </row>
    <row r="1392" spans="14:19" ht="27.95" customHeight="1">
      <c r="N1392" s="778"/>
      <c r="O1392" s="778"/>
      <c r="P1392" s="778"/>
      <c r="Q1392" s="778"/>
      <c r="R1392" s="778"/>
      <c r="S1392" s="778"/>
    </row>
    <row r="1393" spans="14:19" ht="27.95" customHeight="1">
      <c r="N1393" s="778"/>
      <c r="O1393" s="778"/>
      <c r="P1393" s="778"/>
      <c r="Q1393" s="778"/>
      <c r="R1393" s="778"/>
      <c r="S1393" s="778"/>
    </row>
    <row r="1394" spans="14:19" ht="27.95" customHeight="1">
      <c r="N1394" s="778"/>
      <c r="O1394" s="778"/>
      <c r="P1394" s="778"/>
      <c r="Q1394" s="778"/>
      <c r="R1394" s="778"/>
      <c r="S1394" s="778"/>
    </row>
    <row r="1395" spans="14:19" ht="27.95" customHeight="1">
      <c r="N1395" s="778"/>
      <c r="O1395" s="778"/>
      <c r="P1395" s="778"/>
      <c r="Q1395" s="778"/>
      <c r="R1395" s="778"/>
      <c r="S1395" s="778"/>
    </row>
    <row r="1396" spans="14:19" ht="27.95" customHeight="1">
      <c r="N1396" s="778"/>
      <c r="O1396" s="778"/>
      <c r="P1396" s="778"/>
      <c r="Q1396" s="778"/>
      <c r="R1396" s="778"/>
      <c r="S1396" s="778"/>
    </row>
    <row r="1397" spans="14:19" ht="27.95" customHeight="1">
      <c r="N1397" s="778"/>
      <c r="O1397" s="778"/>
      <c r="P1397" s="778"/>
      <c r="Q1397" s="778"/>
      <c r="R1397" s="778"/>
      <c r="S1397" s="778"/>
    </row>
    <row r="1398" spans="14:19" ht="27.95" customHeight="1">
      <c r="N1398" s="778"/>
      <c r="O1398" s="778"/>
      <c r="P1398" s="778"/>
      <c r="Q1398" s="778"/>
      <c r="R1398" s="778"/>
      <c r="S1398" s="778"/>
    </row>
    <row r="1399" spans="14:19" ht="27.95" customHeight="1">
      <c r="N1399" s="778"/>
      <c r="O1399" s="778"/>
      <c r="P1399" s="778"/>
      <c r="Q1399" s="778"/>
      <c r="R1399" s="778"/>
      <c r="S1399" s="778"/>
    </row>
    <row r="1400" spans="14:19" ht="27.95" customHeight="1">
      <c r="N1400" s="778"/>
      <c r="O1400" s="778"/>
      <c r="P1400" s="778"/>
      <c r="Q1400" s="778"/>
      <c r="R1400" s="778"/>
      <c r="S1400" s="778"/>
    </row>
    <row r="1401" spans="14:19" ht="27.95" customHeight="1">
      <c r="N1401" s="778"/>
      <c r="O1401" s="778"/>
      <c r="P1401" s="778"/>
      <c r="Q1401" s="778"/>
      <c r="R1401" s="778"/>
      <c r="S1401" s="778"/>
    </row>
    <row r="1402" spans="14:19" ht="27.95" customHeight="1">
      <c r="N1402" s="778"/>
      <c r="O1402" s="778"/>
      <c r="P1402" s="778"/>
      <c r="Q1402" s="778"/>
      <c r="R1402" s="778"/>
      <c r="S1402" s="778"/>
    </row>
    <row r="1403" spans="14:19" ht="27.95" customHeight="1">
      <c r="N1403" s="778"/>
      <c r="O1403" s="778"/>
      <c r="P1403" s="778"/>
      <c r="Q1403" s="778"/>
      <c r="R1403" s="778"/>
      <c r="S1403" s="778"/>
    </row>
    <row r="1404" spans="14:19" ht="27.95" customHeight="1">
      <c r="N1404" s="778"/>
      <c r="O1404" s="778"/>
      <c r="P1404" s="778"/>
      <c r="Q1404" s="778"/>
      <c r="R1404" s="778"/>
      <c r="S1404" s="778"/>
    </row>
    <row r="1405" spans="14:19" ht="27.95" customHeight="1">
      <c r="N1405" s="778"/>
      <c r="O1405" s="778"/>
      <c r="P1405" s="778"/>
      <c r="Q1405" s="778"/>
      <c r="R1405" s="778"/>
      <c r="S1405" s="778"/>
    </row>
    <row r="1406" spans="14:19" ht="27.95" customHeight="1">
      <c r="N1406" s="778"/>
      <c r="O1406" s="778"/>
      <c r="P1406" s="778"/>
      <c r="Q1406" s="778"/>
      <c r="R1406" s="778"/>
      <c r="S1406" s="778"/>
    </row>
    <row r="1407" spans="14:19" ht="27.95" customHeight="1">
      <c r="N1407" s="778"/>
      <c r="O1407" s="778"/>
      <c r="P1407" s="778"/>
      <c r="Q1407" s="778"/>
      <c r="R1407" s="778"/>
      <c r="S1407" s="778"/>
    </row>
    <row r="1408" spans="14:19" ht="27.95" customHeight="1">
      <c r="N1408" s="778"/>
      <c r="O1408" s="778"/>
      <c r="P1408" s="778"/>
      <c r="Q1408" s="778"/>
      <c r="R1408" s="778"/>
      <c r="S1408" s="778"/>
    </row>
    <row r="1409" spans="14:19" ht="27.95" customHeight="1">
      <c r="N1409" s="778"/>
      <c r="O1409" s="778"/>
      <c r="P1409" s="778"/>
      <c r="Q1409" s="778"/>
      <c r="R1409" s="778"/>
      <c r="S1409" s="778"/>
    </row>
    <row r="1410" spans="14:19" ht="27.95" customHeight="1">
      <c r="N1410" s="778"/>
      <c r="O1410" s="778"/>
      <c r="P1410" s="778"/>
      <c r="Q1410" s="778"/>
      <c r="R1410" s="778"/>
      <c r="S1410" s="778"/>
    </row>
    <row r="1411" spans="14:19" ht="27.95" customHeight="1">
      <c r="N1411" s="778"/>
      <c r="O1411" s="778"/>
      <c r="P1411" s="778"/>
      <c r="Q1411" s="778"/>
      <c r="R1411" s="778"/>
      <c r="S1411" s="778"/>
    </row>
    <row r="1412" spans="14:19" ht="27.95" customHeight="1">
      <c r="N1412" s="778"/>
      <c r="O1412" s="778"/>
      <c r="P1412" s="778"/>
      <c r="Q1412" s="778"/>
      <c r="R1412" s="778"/>
      <c r="S1412" s="778"/>
    </row>
    <row r="1413" spans="14:19" ht="27.95" customHeight="1">
      <c r="N1413" s="778"/>
      <c r="O1413" s="778"/>
      <c r="P1413" s="778"/>
      <c r="Q1413" s="778"/>
      <c r="R1413" s="778"/>
      <c r="S1413" s="778"/>
    </row>
    <row r="1414" spans="14:19" ht="27.95" customHeight="1">
      <c r="N1414" s="778"/>
      <c r="O1414" s="778"/>
      <c r="P1414" s="778"/>
      <c r="Q1414" s="778"/>
      <c r="R1414" s="778"/>
      <c r="S1414" s="778"/>
    </row>
    <row r="1415" spans="14:19" ht="27.95" customHeight="1">
      <c r="N1415" s="778"/>
      <c r="O1415" s="778"/>
      <c r="P1415" s="778"/>
      <c r="Q1415" s="778"/>
      <c r="R1415" s="778"/>
      <c r="S1415" s="778"/>
    </row>
    <row r="1416" spans="14:19" ht="27.95" customHeight="1">
      <c r="N1416" s="778"/>
      <c r="O1416" s="778"/>
      <c r="P1416" s="778"/>
      <c r="Q1416" s="778"/>
      <c r="R1416" s="778"/>
      <c r="S1416" s="778"/>
    </row>
    <row r="1417" spans="14:19" ht="27.95" customHeight="1">
      <c r="N1417" s="778"/>
      <c r="O1417" s="778"/>
      <c r="P1417" s="778"/>
      <c r="Q1417" s="778"/>
      <c r="R1417" s="778"/>
      <c r="S1417" s="778"/>
    </row>
    <row r="1418" spans="14:19" ht="27.95" customHeight="1">
      <c r="N1418" s="778"/>
      <c r="O1418" s="778"/>
      <c r="P1418" s="778"/>
      <c r="Q1418" s="778"/>
      <c r="R1418" s="778"/>
      <c r="S1418" s="778"/>
    </row>
    <row r="1419" spans="14:19" ht="27.95" customHeight="1">
      <c r="N1419" s="778"/>
      <c r="O1419" s="778"/>
      <c r="P1419" s="778"/>
      <c r="Q1419" s="778"/>
      <c r="R1419" s="778"/>
      <c r="S1419" s="778"/>
    </row>
    <row r="1420" spans="14:19" ht="27.95" customHeight="1">
      <c r="N1420" s="778"/>
      <c r="O1420" s="778"/>
      <c r="P1420" s="778"/>
      <c r="Q1420" s="778"/>
      <c r="R1420" s="778"/>
      <c r="S1420" s="778"/>
    </row>
    <row r="1421" spans="14:19" ht="27.95" customHeight="1">
      <c r="N1421" s="778"/>
      <c r="O1421" s="778"/>
      <c r="P1421" s="778"/>
      <c r="Q1421" s="778"/>
      <c r="R1421" s="778"/>
      <c r="S1421" s="778"/>
    </row>
    <row r="1422" spans="14:19" ht="27.95" customHeight="1">
      <c r="N1422" s="778"/>
      <c r="O1422" s="778"/>
      <c r="P1422" s="778"/>
      <c r="Q1422" s="778"/>
      <c r="R1422" s="778"/>
      <c r="S1422" s="778"/>
    </row>
    <row r="1423" spans="14:19" ht="27.95" customHeight="1">
      <c r="N1423" s="778"/>
      <c r="O1423" s="778"/>
      <c r="P1423" s="778"/>
      <c r="Q1423" s="778"/>
      <c r="R1423" s="778"/>
      <c r="S1423" s="778"/>
    </row>
    <row r="1424" spans="14:19" ht="27.95" customHeight="1">
      <c r="N1424" s="778"/>
      <c r="O1424" s="778"/>
      <c r="P1424" s="778"/>
      <c r="Q1424" s="778"/>
      <c r="R1424" s="778"/>
      <c r="S1424" s="778"/>
    </row>
    <row r="1425" spans="14:19" ht="27.95" customHeight="1">
      <c r="N1425" s="778"/>
      <c r="O1425" s="778"/>
      <c r="P1425" s="778"/>
      <c r="Q1425" s="778"/>
      <c r="R1425" s="778"/>
      <c r="S1425" s="778"/>
    </row>
    <row r="1426" spans="14:19" ht="27.95" customHeight="1">
      <c r="N1426" s="778"/>
      <c r="O1426" s="778"/>
      <c r="P1426" s="778"/>
      <c r="Q1426" s="778"/>
      <c r="R1426" s="778"/>
      <c r="S1426" s="778"/>
    </row>
    <row r="1427" spans="14:19" ht="27.95" customHeight="1">
      <c r="N1427" s="778"/>
      <c r="O1427" s="778"/>
      <c r="P1427" s="778"/>
      <c r="Q1427" s="778"/>
      <c r="R1427" s="778"/>
      <c r="S1427" s="778"/>
    </row>
    <row r="1428" spans="14:19" ht="27.95" customHeight="1">
      <c r="N1428" s="778"/>
      <c r="O1428" s="778"/>
      <c r="P1428" s="778"/>
      <c r="Q1428" s="778"/>
      <c r="R1428" s="778"/>
      <c r="S1428" s="778"/>
    </row>
    <row r="1429" spans="14:19" ht="27.95" customHeight="1">
      <c r="N1429" s="778"/>
      <c r="O1429" s="778"/>
      <c r="P1429" s="778"/>
      <c r="Q1429" s="778"/>
      <c r="R1429" s="778"/>
      <c r="S1429" s="778"/>
    </row>
    <row r="1430" spans="14:19" ht="27.95" customHeight="1">
      <c r="N1430" s="778"/>
      <c r="O1430" s="778"/>
      <c r="P1430" s="778"/>
      <c r="Q1430" s="778"/>
      <c r="R1430" s="778"/>
      <c r="S1430" s="778"/>
    </row>
    <row r="1431" spans="14:19" ht="27.95" customHeight="1">
      <c r="N1431" s="778"/>
      <c r="O1431" s="778"/>
      <c r="P1431" s="778"/>
      <c r="Q1431" s="778"/>
      <c r="R1431" s="778"/>
      <c r="S1431" s="778"/>
    </row>
    <row r="1432" spans="14:19" ht="27.95" customHeight="1">
      <c r="N1432" s="778"/>
      <c r="O1432" s="778"/>
      <c r="P1432" s="778"/>
      <c r="Q1432" s="778"/>
      <c r="R1432" s="778"/>
      <c r="S1432" s="778"/>
    </row>
    <row r="1433" spans="14:19" ht="27.95" customHeight="1">
      <c r="N1433" s="778"/>
      <c r="O1433" s="778"/>
      <c r="P1433" s="778"/>
      <c r="Q1433" s="778"/>
      <c r="R1433" s="778"/>
      <c r="S1433" s="778"/>
    </row>
    <row r="1434" spans="14:19" ht="27.95" customHeight="1">
      <c r="N1434" s="778"/>
      <c r="O1434" s="778"/>
      <c r="P1434" s="778"/>
      <c r="Q1434" s="778"/>
      <c r="R1434" s="778"/>
      <c r="S1434" s="778"/>
    </row>
    <row r="1435" spans="14:19" ht="27.95" customHeight="1">
      <c r="N1435" s="778"/>
      <c r="O1435" s="778"/>
      <c r="P1435" s="778"/>
      <c r="Q1435" s="778"/>
      <c r="R1435" s="778"/>
      <c r="S1435" s="778"/>
    </row>
    <row r="1436" spans="14:19" ht="27.95" customHeight="1">
      <c r="N1436" s="778"/>
      <c r="O1436" s="778"/>
      <c r="P1436" s="778"/>
      <c r="Q1436" s="778"/>
      <c r="R1436" s="778"/>
      <c r="S1436" s="778"/>
    </row>
    <row r="1437" spans="14:19" ht="27.95" customHeight="1">
      <c r="N1437" s="778"/>
      <c r="O1437" s="778"/>
      <c r="P1437" s="778"/>
      <c r="Q1437" s="778"/>
      <c r="R1437" s="778"/>
      <c r="S1437" s="778"/>
    </row>
    <row r="1438" spans="14:19" ht="27.95" customHeight="1">
      <c r="N1438" s="778"/>
      <c r="O1438" s="778"/>
      <c r="P1438" s="778"/>
      <c r="Q1438" s="778"/>
      <c r="R1438" s="778"/>
      <c r="S1438" s="778"/>
    </row>
    <row r="1439" spans="14:19" ht="27.95" customHeight="1">
      <c r="N1439" s="778"/>
      <c r="O1439" s="778"/>
      <c r="P1439" s="778"/>
      <c r="Q1439" s="778"/>
      <c r="R1439" s="778"/>
      <c r="S1439" s="778"/>
    </row>
    <row r="1440" spans="14:19" ht="27.95" customHeight="1">
      <c r="N1440" s="778"/>
      <c r="O1440" s="778"/>
      <c r="P1440" s="778"/>
      <c r="Q1440" s="778"/>
      <c r="R1440" s="778"/>
      <c r="S1440" s="778"/>
    </row>
    <row r="1441" spans="14:19" ht="27.95" customHeight="1">
      <c r="N1441" s="778"/>
      <c r="O1441" s="778"/>
      <c r="P1441" s="778"/>
      <c r="Q1441" s="778"/>
      <c r="R1441" s="778"/>
      <c r="S1441" s="778"/>
    </row>
    <row r="1442" spans="14:19" ht="27.95" customHeight="1">
      <c r="N1442" s="778"/>
      <c r="O1442" s="778"/>
      <c r="P1442" s="778"/>
      <c r="Q1442" s="778"/>
      <c r="R1442" s="778"/>
      <c r="S1442" s="778"/>
    </row>
    <row r="1443" spans="14:19" ht="27.95" customHeight="1">
      <c r="N1443" s="778"/>
      <c r="O1443" s="778"/>
      <c r="P1443" s="778"/>
      <c r="Q1443" s="778"/>
      <c r="R1443" s="778"/>
      <c r="S1443" s="778"/>
    </row>
    <row r="1444" spans="14:19" ht="27.95" customHeight="1">
      <c r="N1444" s="778"/>
      <c r="O1444" s="778"/>
      <c r="P1444" s="778"/>
      <c r="Q1444" s="778"/>
      <c r="R1444" s="778"/>
      <c r="S1444" s="778"/>
    </row>
    <row r="1445" spans="14:19" ht="27.95" customHeight="1">
      <c r="N1445" s="778"/>
      <c r="O1445" s="778"/>
      <c r="P1445" s="778"/>
      <c r="Q1445" s="778"/>
      <c r="R1445" s="778"/>
      <c r="S1445" s="778"/>
    </row>
    <row r="1446" spans="14:19" ht="27.95" customHeight="1">
      <c r="N1446" s="778"/>
      <c r="O1446" s="778"/>
      <c r="P1446" s="778"/>
      <c r="Q1446" s="778"/>
      <c r="R1446" s="778"/>
      <c r="S1446" s="778"/>
    </row>
    <row r="1447" spans="14:19" ht="27.95" customHeight="1">
      <c r="N1447" s="778"/>
      <c r="O1447" s="778"/>
      <c r="P1447" s="778"/>
      <c r="Q1447" s="778"/>
      <c r="R1447" s="778"/>
      <c r="S1447" s="778"/>
    </row>
    <row r="1448" spans="14:19" ht="27.95" customHeight="1">
      <c r="N1448" s="778"/>
      <c r="O1448" s="778"/>
      <c r="P1448" s="778"/>
      <c r="Q1448" s="778"/>
      <c r="R1448" s="778"/>
      <c r="S1448" s="778"/>
    </row>
    <row r="1449" spans="14:19" ht="27.95" customHeight="1">
      <c r="N1449" s="778"/>
      <c r="O1449" s="778"/>
      <c r="P1449" s="778"/>
      <c r="Q1449" s="778"/>
      <c r="R1449" s="778"/>
      <c r="S1449" s="778"/>
    </row>
    <row r="1450" spans="14:19" ht="27.95" customHeight="1">
      <c r="N1450" s="778"/>
      <c r="O1450" s="778"/>
      <c r="P1450" s="778"/>
      <c r="Q1450" s="778"/>
      <c r="R1450" s="778"/>
      <c r="S1450" s="778"/>
    </row>
    <row r="1451" spans="14:19" ht="27.95" customHeight="1">
      <c r="N1451" s="778"/>
      <c r="O1451" s="778"/>
      <c r="P1451" s="778"/>
      <c r="Q1451" s="778"/>
      <c r="R1451" s="778"/>
      <c r="S1451" s="778"/>
    </row>
    <row r="1452" spans="14:19" ht="27.95" customHeight="1">
      <c r="N1452" s="778"/>
      <c r="O1452" s="778"/>
      <c r="P1452" s="778"/>
      <c r="Q1452" s="778"/>
      <c r="R1452" s="778"/>
      <c r="S1452" s="778"/>
    </row>
    <row r="1453" spans="14:19" ht="27.95" customHeight="1">
      <c r="N1453" s="778"/>
      <c r="O1453" s="778"/>
      <c r="P1453" s="778"/>
      <c r="Q1453" s="778"/>
      <c r="R1453" s="778"/>
      <c r="S1453" s="778"/>
    </row>
    <row r="1454" spans="14:19" ht="27.95" customHeight="1">
      <c r="N1454" s="778"/>
      <c r="O1454" s="778"/>
      <c r="P1454" s="778"/>
      <c r="Q1454" s="778"/>
      <c r="R1454" s="778"/>
      <c r="S1454" s="778"/>
    </row>
    <row r="1455" spans="14:19" ht="27.95" customHeight="1">
      <c r="N1455" s="778"/>
      <c r="O1455" s="778"/>
      <c r="P1455" s="778"/>
      <c r="Q1455" s="778"/>
      <c r="R1455" s="778"/>
      <c r="S1455" s="778"/>
    </row>
    <row r="1456" spans="14:19" ht="27.95" customHeight="1">
      <c r="N1456" s="778"/>
      <c r="O1456" s="778"/>
      <c r="P1456" s="778"/>
      <c r="Q1456" s="778"/>
      <c r="R1456" s="778"/>
      <c r="S1456" s="778"/>
    </row>
    <row r="1457" spans="14:19" ht="27.95" customHeight="1">
      <c r="N1457" s="778"/>
      <c r="O1457" s="778"/>
      <c r="P1457" s="778"/>
      <c r="Q1457" s="778"/>
      <c r="R1457" s="778"/>
      <c r="S1457" s="778"/>
    </row>
    <row r="1458" spans="14:19" ht="27.95" customHeight="1">
      <c r="N1458" s="778"/>
      <c r="O1458" s="778"/>
      <c r="P1458" s="778"/>
      <c r="Q1458" s="778"/>
      <c r="R1458" s="778"/>
      <c r="S1458" s="778"/>
    </row>
    <row r="1459" spans="14:19" ht="27.95" customHeight="1">
      <c r="N1459" s="778"/>
      <c r="O1459" s="778"/>
      <c r="P1459" s="778"/>
      <c r="Q1459" s="778"/>
      <c r="R1459" s="778"/>
      <c r="S1459" s="778"/>
    </row>
    <row r="1460" spans="14:19" ht="27.95" customHeight="1">
      <c r="N1460" s="778"/>
      <c r="O1460" s="778"/>
      <c r="P1460" s="778"/>
      <c r="Q1460" s="778"/>
      <c r="R1460" s="778"/>
      <c r="S1460" s="778"/>
    </row>
    <row r="1461" spans="14:19" ht="27.95" customHeight="1">
      <c r="N1461" s="778"/>
      <c r="O1461" s="778"/>
      <c r="P1461" s="778"/>
      <c r="Q1461" s="778"/>
      <c r="R1461" s="778"/>
      <c r="S1461" s="778"/>
    </row>
    <row r="1462" spans="14:19" ht="27.95" customHeight="1">
      <c r="N1462" s="778"/>
      <c r="O1462" s="778"/>
      <c r="P1462" s="778"/>
      <c r="Q1462" s="778"/>
      <c r="R1462" s="778"/>
      <c r="S1462" s="778"/>
    </row>
    <row r="1463" spans="14:19" ht="27.95" customHeight="1">
      <c r="N1463" s="778"/>
      <c r="O1463" s="778"/>
      <c r="P1463" s="778"/>
      <c r="Q1463" s="778"/>
      <c r="R1463" s="778"/>
      <c r="S1463" s="778"/>
    </row>
    <row r="1464" spans="14:19" ht="27.95" customHeight="1">
      <c r="N1464" s="778"/>
      <c r="O1464" s="778"/>
      <c r="P1464" s="778"/>
      <c r="Q1464" s="778"/>
      <c r="R1464" s="778"/>
      <c r="S1464" s="778"/>
    </row>
    <row r="1465" spans="14:19" ht="27.95" customHeight="1">
      <c r="N1465" s="778"/>
      <c r="O1465" s="778"/>
      <c r="P1465" s="778"/>
      <c r="Q1465" s="778"/>
      <c r="R1465" s="778"/>
      <c r="S1465" s="778"/>
    </row>
    <row r="1466" spans="14:19" ht="27.95" customHeight="1">
      <c r="N1466" s="778"/>
      <c r="O1466" s="778"/>
      <c r="P1466" s="778"/>
      <c r="Q1466" s="778"/>
      <c r="R1466" s="778"/>
      <c r="S1466" s="778"/>
    </row>
    <row r="1467" spans="14:19" ht="27.95" customHeight="1">
      <c r="N1467" s="778"/>
      <c r="O1467" s="778"/>
      <c r="P1467" s="778"/>
      <c r="Q1467" s="778"/>
      <c r="R1467" s="778"/>
      <c r="S1467" s="778"/>
    </row>
    <row r="1468" spans="14:19" ht="27.95" customHeight="1">
      <c r="N1468" s="778"/>
      <c r="O1468" s="778"/>
      <c r="P1468" s="778"/>
      <c r="Q1468" s="778"/>
      <c r="R1468" s="778"/>
      <c r="S1468" s="778"/>
    </row>
    <row r="1469" spans="14:19" ht="27.95" customHeight="1">
      <c r="N1469" s="778"/>
      <c r="O1469" s="778"/>
      <c r="P1469" s="778"/>
      <c r="Q1469" s="778"/>
      <c r="R1469" s="778"/>
      <c r="S1469" s="778"/>
    </row>
    <row r="1470" spans="14:19" ht="27.95" customHeight="1">
      <c r="N1470" s="778"/>
      <c r="O1470" s="778"/>
      <c r="P1470" s="778"/>
      <c r="Q1470" s="778"/>
      <c r="R1470" s="778"/>
      <c r="S1470" s="778"/>
    </row>
    <row r="1471" spans="14:19" ht="27.95" customHeight="1">
      <c r="N1471" s="778"/>
      <c r="O1471" s="778"/>
      <c r="P1471" s="778"/>
      <c r="Q1471" s="778"/>
      <c r="R1471" s="778"/>
      <c r="S1471" s="778"/>
    </row>
    <row r="1472" spans="14:19" ht="27.95" customHeight="1">
      <c r="N1472" s="778"/>
      <c r="O1472" s="778"/>
      <c r="P1472" s="778"/>
      <c r="Q1472" s="778"/>
      <c r="R1472" s="778"/>
      <c r="S1472" s="778"/>
    </row>
    <row r="1473" spans="14:19" ht="27.95" customHeight="1">
      <c r="N1473" s="778"/>
      <c r="O1473" s="778"/>
      <c r="P1473" s="778"/>
      <c r="Q1473" s="778"/>
      <c r="R1473" s="778"/>
      <c r="S1473" s="778"/>
    </row>
    <row r="1474" spans="14:19" ht="27.95" customHeight="1">
      <c r="N1474" s="778"/>
      <c r="O1474" s="778"/>
      <c r="P1474" s="778"/>
      <c r="Q1474" s="778"/>
      <c r="R1474" s="778"/>
      <c r="S1474" s="778"/>
    </row>
    <row r="1475" spans="14:19" ht="27.95" customHeight="1">
      <c r="N1475" s="778"/>
      <c r="O1475" s="778"/>
      <c r="P1475" s="778"/>
      <c r="Q1475" s="778"/>
      <c r="R1475" s="778"/>
      <c r="S1475" s="778"/>
    </row>
    <row r="1476" spans="14:19" ht="27.95" customHeight="1">
      <c r="N1476" s="778"/>
      <c r="O1476" s="778"/>
      <c r="P1476" s="778"/>
      <c r="Q1476" s="778"/>
      <c r="R1476" s="778"/>
      <c r="S1476" s="778"/>
    </row>
    <row r="1477" spans="14:19" ht="27.95" customHeight="1">
      <c r="N1477" s="778"/>
      <c r="O1477" s="778"/>
      <c r="P1477" s="778"/>
      <c r="Q1477" s="778"/>
      <c r="R1477" s="778"/>
      <c r="S1477" s="778"/>
    </row>
    <row r="1478" spans="14:19" ht="27.95" customHeight="1">
      <c r="N1478" s="778"/>
      <c r="O1478" s="778"/>
      <c r="P1478" s="778"/>
      <c r="Q1478" s="778"/>
      <c r="R1478" s="778"/>
      <c r="S1478" s="778"/>
    </row>
    <row r="1479" spans="14:19" ht="27.95" customHeight="1">
      <c r="N1479" s="778"/>
      <c r="O1479" s="778"/>
      <c r="P1479" s="778"/>
      <c r="Q1479" s="778"/>
      <c r="R1479" s="778"/>
      <c r="S1479" s="778"/>
    </row>
    <row r="1480" spans="14:19" ht="27.95" customHeight="1">
      <c r="N1480" s="778"/>
      <c r="O1480" s="778"/>
      <c r="P1480" s="778"/>
      <c r="Q1480" s="778"/>
      <c r="R1480" s="778"/>
      <c r="S1480" s="778"/>
    </row>
    <row r="1481" spans="14:19" ht="27.95" customHeight="1">
      <c r="N1481" s="778"/>
      <c r="O1481" s="778"/>
      <c r="P1481" s="778"/>
      <c r="Q1481" s="778"/>
      <c r="R1481" s="778"/>
      <c r="S1481" s="778"/>
    </row>
    <row r="1482" spans="14:19" ht="27.95" customHeight="1">
      <c r="N1482" s="778"/>
      <c r="O1482" s="778"/>
      <c r="P1482" s="778"/>
      <c r="Q1482" s="778"/>
      <c r="R1482" s="778"/>
      <c r="S1482" s="778"/>
    </row>
    <row r="1483" spans="14:19" ht="27.95" customHeight="1">
      <c r="N1483" s="778"/>
      <c r="O1483" s="778"/>
      <c r="P1483" s="778"/>
      <c r="Q1483" s="778"/>
      <c r="R1483" s="778"/>
      <c r="S1483" s="778"/>
    </row>
    <row r="1484" spans="14:19" ht="27.95" customHeight="1">
      <c r="N1484" s="778"/>
      <c r="O1484" s="778"/>
      <c r="P1484" s="778"/>
      <c r="Q1484" s="778"/>
      <c r="R1484" s="778"/>
      <c r="S1484" s="778"/>
    </row>
    <row r="1485" spans="14:19" ht="27.95" customHeight="1">
      <c r="N1485" s="778"/>
      <c r="O1485" s="778"/>
      <c r="P1485" s="778"/>
      <c r="Q1485" s="778"/>
      <c r="R1485" s="778"/>
      <c r="S1485" s="778"/>
    </row>
    <row r="1486" spans="14:19" ht="27.95" customHeight="1">
      <c r="N1486" s="778"/>
      <c r="O1486" s="778"/>
      <c r="P1486" s="778"/>
      <c r="Q1486" s="778"/>
      <c r="R1486" s="778"/>
      <c r="S1486" s="778"/>
    </row>
    <row r="1487" spans="14:19" ht="27.95" customHeight="1">
      <c r="N1487" s="778"/>
      <c r="O1487" s="778"/>
      <c r="P1487" s="778"/>
      <c r="Q1487" s="778"/>
      <c r="R1487" s="778"/>
      <c r="S1487" s="778"/>
    </row>
    <row r="1488" spans="14:19" ht="27.95" customHeight="1">
      <c r="N1488" s="778"/>
      <c r="O1488" s="778"/>
      <c r="P1488" s="778"/>
      <c r="Q1488" s="778"/>
      <c r="R1488" s="778"/>
      <c r="S1488" s="778"/>
    </row>
    <row r="1489" spans="14:19" ht="27.95" customHeight="1">
      <c r="N1489" s="778"/>
      <c r="O1489" s="778"/>
      <c r="P1489" s="778"/>
      <c r="Q1489" s="778"/>
      <c r="R1489" s="778"/>
      <c r="S1489" s="778"/>
    </row>
    <row r="1490" spans="14:19" ht="27.95" customHeight="1">
      <c r="N1490" s="778"/>
      <c r="O1490" s="778"/>
      <c r="P1490" s="778"/>
      <c r="Q1490" s="778"/>
      <c r="R1490" s="778"/>
      <c r="S1490" s="778"/>
    </row>
    <row r="1491" spans="14:19" ht="27.95" customHeight="1">
      <c r="N1491" s="778"/>
      <c r="O1491" s="778"/>
      <c r="P1491" s="778"/>
      <c r="Q1491" s="778"/>
      <c r="R1491" s="778"/>
      <c r="S1491" s="778"/>
    </row>
    <row r="1492" spans="14:19" ht="27.95" customHeight="1">
      <c r="N1492" s="778"/>
      <c r="O1492" s="778"/>
      <c r="P1492" s="778"/>
      <c r="Q1492" s="778"/>
      <c r="R1492" s="778"/>
      <c r="S1492" s="778"/>
    </row>
    <row r="1493" spans="14:19" ht="27.95" customHeight="1">
      <c r="N1493" s="778"/>
      <c r="O1493" s="778"/>
      <c r="P1493" s="778"/>
      <c r="Q1493" s="778"/>
      <c r="R1493" s="778"/>
      <c r="S1493" s="778"/>
    </row>
    <row r="1494" spans="14:19" ht="27.95" customHeight="1">
      <c r="N1494" s="778"/>
      <c r="O1494" s="778"/>
      <c r="P1494" s="778"/>
      <c r="Q1494" s="778"/>
      <c r="R1494" s="778"/>
      <c r="S1494" s="778"/>
    </row>
    <row r="1495" spans="14:19" ht="27.95" customHeight="1">
      <c r="N1495" s="778"/>
      <c r="O1495" s="778"/>
      <c r="P1495" s="778"/>
      <c r="Q1495" s="778"/>
      <c r="R1495" s="778"/>
      <c r="S1495" s="778"/>
    </row>
    <row r="1496" spans="14:19" ht="27.95" customHeight="1">
      <c r="N1496" s="778"/>
      <c r="O1496" s="778"/>
      <c r="P1496" s="778"/>
      <c r="Q1496" s="778"/>
      <c r="R1496" s="778"/>
      <c r="S1496" s="778"/>
    </row>
    <row r="1497" spans="14:19" ht="27.95" customHeight="1">
      <c r="N1497" s="778"/>
      <c r="O1497" s="778"/>
      <c r="P1497" s="778"/>
      <c r="Q1497" s="778"/>
      <c r="R1497" s="778"/>
      <c r="S1497" s="778"/>
    </row>
    <row r="1498" spans="14:19" ht="27.95" customHeight="1">
      <c r="N1498" s="778"/>
      <c r="O1498" s="778"/>
      <c r="P1498" s="778"/>
      <c r="Q1498" s="778"/>
      <c r="R1498" s="778"/>
      <c r="S1498" s="778"/>
    </row>
    <row r="1499" spans="14:19" ht="27.95" customHeight="1">
      <c r="N1499" s="778"/>
      <c r="O1499" s="778"/>
      <c r="P1499" s="778"/>
      <c r="Q1499" s="778"/>
      <c r="R1499" s="778"/>
      <c r="S1499" s="778"/>
    </row>
    <row r="1500" spans="14:19" ht="27.95" customHeight="1">
      <c r="N1500" s="778"/>
      <c r="O1500" s="778"/>
      <c r="P1500" s="778"/>
      <c r="Q1500" s="778"/>
      <c r="R1500" s="778"/>
      <c r="S1500" s="778"/>
    </row>
    <row r="1501" spans="14:19" ht="27.95" customHeight="1">
      <c r="N1501" s="778"/>
      <c r="O1501" s="778"/>
      <c r="P1501" s="778"/>
      <c r="Q1501" s="778"/>
      <c r="R1501" s="778"/>
      <c r="S1501" s="778"/>
    </row>
    <row r="1502" spans="14:19" ht="27.95" customHeight="1">
      <c r="N1502" s="778"/>
      <c r="O1502" s="778"/>
      <c r="P1502" s="778"/>
      <c r="Q1502" s="778"/>
      <c r="R1502" s="778"/>
      <c r="S1502" s="778"/>
    </row>
    <row r="1503" spans="14:19" ht="27.95" customHeight="1">
      <c r="N1503" s="778"/>
      <c r="O1503" s="778"/>
      <c r="P1503" s="778"/>
      <c r="Q1503" s="778"/>
      <c r="R1503" s="778"/>
      <c r="S1503" s="778"/>
    </row>
    <row r="1504" spans="14:19" ht="27.95" customHeight="1">
      <c r="N1504" s="778"/>
      <c r="O1504" s="778"/>
      <c r="P1504" s="778"/>
      <c r="Q1504" s="778"/>
      <c r="R1504" s="778"/>
      <c r="S1504" s="778"/>
    </row>
    <row r="1505" spans="14:19" ht="27.95" customHeight="1">
      <c r="N1505" s="778"/>
      <c r="O1505" s="778"/>
      <c r="P1505" s="778"/>
      <c r="Q1505" s="778"/>
      <c r="R1505" s="778"/>
      <c r="S1505" s="778"/>
    </row>
    <row r="1506" spans="14:19" ht="27.95" customHeight="1">
      <c r="N1506" s="778"/>
      <c r="O1506" s="778"/>
      <c r="P1506" s="778"/>
      <c r="Q1506" s="778"/>
      <c r="R1506" s="778"/>
      <c r="S1506" s="778"/>
    </row>
    <row r="1507" spans="14:19" ht="27.95" customHeight="1">
      <c r="N1507" s="778"/>
      <c r="O1507" s="778"/>
      <c r="P1507" s="778"/>
      <c r="Q1507" s="778"/>
      <c r="R1507" s="778"/>
      <c r="S1507" s="778"/>
    </row>
    <row r="1508" spans="14:19" ht="27.95" customHeight="1">
      <c r="N1508" s="778"/>
      <c r="O1508" s="778"/>
      <c r="P1508" s="778"/>
      <c r="Q1508" s="778"/>
      <c r="R1508" s="778"/>
      <c r="S1508" s="778"/>
    </row>
    <row r="1509" spans="14:19" ht="27.95" customHeight="1">
      <c r="N1509" s="778"/>
      <c r="O1509" s="778"/>
      <c r="P1509" s="778"/>
      <c r="Q1509" s="778"/>
      <c r="R1509" s="778"/>
      <c r="S1509" s="778"/>
    </row>
    <row r="1510" spans="14:19" ht="27.95" customHeight="1">
      <c r="N1510" s="778"/>
      <c r="O1510" s="778"/>
      <c r="P1510" s="778"/>
      <c r="Q1510" s="778"/>
      <c r="R1510" s="778"/>
      <c r="S1510" s="778"/>
    </row>
    <row r="1511" spans="14:19" ht="27.95" customHeight="1">
      <c r="N1511" s="778"/>
      <c r="O1511" s="778"/>
      <c r="P1511" s="778"/>
      <c r="Q1511" s="778"/>
      <c r="R1511" s="778"/>
      <c r="S1511" s="778"/>
    </row>
    <row r="1512" spans="14:19" ht="27.95" customHeight="1">
      <c r="N1512" s="778"/>
      <c r="O1512" s="778"/>
      <c r="P1512" s="778"/>
      <c r="Q1512" s="778"/>
      <c r="R1512" s="778"/>
      <c r="S1512" s="778"/>
    </row>
    <row r="1513" spans="14:19" ht="27.95" customHeight="1">
      <c r="N1513" s="778"/>
      <c r="O1513" s="778"/>
      <c r="P1513" s="778"/>
      <c r="Q1513" s="778"/>
      <c r="R1513" s="778"/>
      <c r="S1513" s="778"/>
    </row>
    <row r="1514" spans="14:19" ht="27.95" customHeight="1">
      <c r="N1514" s="778"/>
      <c r="O1514" s="778"/>
      <c r="P1514" s="778"/>
      <c r="Q1514" s="778"/>
      <c r="R1514" s="778"/>
      <c r="S1514" s="778"/>
    </row>
    <row r="1515" spans="14:19" ht="27.95" customHeight="1">
      <c r="N1515" s="778"/>
      <c r="O1515" s="778"/>
      <c r="P1515" s="778"/>
      <c r="Q1515" s="778"/>
      <c r="R1515" s="778"/>
      <c r="S1515" s="778"/>
    </row>
    <row r="1516" spans="14:19" ht="27.95" customHeight="1">
      <c r="N1516" s="778"/>
      <c r="O1516" s="778"/>
      <c r="P1516" s="778"/>
      <c r="Q1516" s="778"/>
      <c r="R1516" s="778"/>
      <c r="S1516" s="778"/>
    </row>
    <row r="1517" spans="14:19" ht="27.95" customHeight="1">
      <c r="N1517" s="778"/>
      <c r="O1517" s="778"/>
      <c r="P1517" s="778"/>
      <c r="Q1517" s="778"/>
      <c r="R1517" s="778"/>
      <c r="S1517" s="778"/>
    </row>
    <row r="1518" spans="14:19" ht="27.95" customHeight="1">
      <c r="N1518" s="778"/>
      <c r="O1518" s="778"/>
      <c r="P1518" s="778"/>
      <c r="Q1518" s="778"/>
      <c r="R1518" s="778"/>
      <c r="S1518" s="778"/>
    </row>
    <row r="1519" spans="14:19" ht="27.95" customHeight="1">
      <c r="N1519" s="778"/>
      <c r="O1519" s="778"/>
      <c r="P1519" s="778"/>
      <c r="Q1519" s="778"/>
      <c r="R1519" s="778"/>
      <c r="S1519" s="778"/>
    </row>
    <row r="1520" spans="14:19" ht="27.95" customHeight="1">
      <c r="N1520" s="778"/>
      <c r="O1520" s="778"/>
      <c r="P1520" s="778"/>
      <c r="Q1520" s="778"/>
      <c r="R1520" s="778"/>
      <c r="S1520" s="778"/>
    </row>
    <row r="1521" spans="14:19" ht="27.95" customHeight="1">
      <c r="N1521" s="778"/>
      <c r="O1521" s="778"/>
      <c r="P1521" s="778"/>
      <c r="Q1521" s="778"/>
      <c r="R1521" s="778"/>
      <c r="S1521" s="778"/>
    </row>
    <row r="1522" spans="14:19" ht="27.95" customHeight="1">
      <c r="N1522" s="778"/>
      <c r="O1522" s="778"/>
      <c r="P1522" s="778"/>
      <c r="Q1522" s="778"/>
      <c r="R1522" s="778"/>
      <c r="S1522" s="778"/>
    </row>
    <row r="1523" spans="14:19" ht="27.95" customHeight="1">
      <c r="N1523" s="778"/>
      <c r="O1523" s="778"/>
      <c r="P1523" s="778"/>
      <c r="Q1523" s="778"/>
      <c r="R1523" s="778"/>
      <c r="S1523" s="778"/>
    </row>
    <row r="1524" spans="14:19" ht="27.95" customHeight="1">
      <c r="N1524" s="778"/>
      <c r="O1524" s="778"/>
      <c r="P1524" s="778"/>
      <c r="Q1524" s="778"/>
      <c r="R1524" s="778"/>
      <c r="S1524" s="778"/>
    </row>
    <row r="1525" spans="14:19" ht="27.95" customHeight="1">
      <c r="N1525" s="778"/>
      <c r="O1525" s="778"/>
      <c r="P1525" s="778"/>
      <c r="Q1525" s="778"/>
      <c r="R1525" s="778"/>
      <c r="S1525" s="778"/>
    </row>
    <row r="1526" spans="14:19" ht="27.95" customHeight="1">
      <c r="N1526" s="778"/>
      <c r="O1526" s="778"/>
      <c r="P1526" s="778"/>
      <c r="Q1526" s="778"/>
      <c r="R1526" s="778"/>
      <c r="S1526" s="778"/>
    </row>
    <row r="1527" spans="14:19" ht="27.95" customHeight="1">
      <c r="N1527" s="778"/>
      <c r="O1527" s="778"/>
      <c r="P1527" s="778"/>
      <c r="Q1527" s="778"/>
      <c r="R1527" s="778"/>
      <c r="S1527" s="778"/>
    </row>
    <row r="1528" spans="14:19" ht="27.95" customHeight="1">
      <c r="N1528" s="778"/>
      <c r="O1528" s="778"/>
      <c r="P1528" s="778"/>
      <c r="Q1528" s="778"/>
      <c r="R1528" s="778"/>
      <c r="S1528" s="778"/>
    </row>
    <row r="1529" spans="14:19" ht="27.95" customHeight="1">
      <c r="N1529" s="778"/>
      <c r="O1529" s="778"/>
      <c r="P1529" s="778"/>
      <c r="Q1529" s="778"/>
      <c r="R1529" s="778"/>
      <c r="S1529" s="778"/>
    </row>
    <row r="1530" spans="14:19" ht="27.95" customHeight="1">
      <c r="N1530" s="778"/>
      <c r="O1530" s="778"/>
      <c r="P1530" s="778"/>
      <c r="Q1530" s="778"/>
      <c r="R1530" s="778"/>
      <c r="S1530" s="778"/>
    </row>
    <row r="1531" spans="14:19" ht="27.95" customHeight="1">
      <c r="N1531" s="778"/>
      <c r="O1531" s="778"/>
      <c r="P1531" s="778"/>
      <c r="Q1531" s="778"/>
      <c r="R1531" s="778"/>
      <c r="S1531" s="778"/>
    </row>
    <row r="1532" spans="14:19" ht="27.95" customHeight="1">
      <c r="N1532" s="778"/>
      <c r="O1532" s="778"/>
      <c r="P1532" s="778"/>
      <c r="Q1532" s="778"/>
      <c r="R1532" s="778"/>
      <c r="S1532" s="778"/>
    </row>
    <row r="1533" spans="14:19" ht="27.95" customHeight="1">
      <c r="N1533" s="778"/>
      <c r="O1533" s="778"/>
      <c r="P1533" s="778"/>
      <c r="Q1533" s="778"/>
      <c r="R1533" s="778"/>
      <c r="S1533" s="778"/>
    </row>
    <row r="1534" spans="14:19" ht="27.95" customHeight="1">
      <c r="N1534" s="778"/>
      <c r="O1534" s="778"/>
      <c r="P1534" s="778"/>
      <c r="Q1534" s="778"/>
      <c r="R1534" s="778"/>
      <c r="S1534" s="778"/>
    </row>
    <row r="1535" spans="14:19" ht="27.95" customHeight="1">
      <c r="N1535" s="778"/>
      <c r="O1535" s="778"/>
      <c r="P1535" s="778"/>
      <c r="Q1535" s="778"/>
      <c r="R1535" s="778"/>
      <c r="S1535" s="778"/>
    </row>
    <row r="1536" spans="14:19" ht="27.95" customHeight="1">
      <c r="N1536" s="778"/>
      <c r="O1536" s="778"/>
      <c r="P1536" s="778"/>
      <c r="Q1536" s="778"/>
      <c r="R1536" s="778"/>
      <c r="S1536" s="778"/>
    </row>
    <row r="1537" spans="14:19" ht="27.95" customHeight="1">
      <c r="N1537" s="778"/>
      <c r="O1537" s="778"/>
      <c r="P1537" s="778"/>
      <c r="Q1537" s="778"/>
      <c r="R1537" s="778"/>
      <c r="S1537" s="778"/>
    </row>
    <row r="1538" spans="14:19" ht="27.95" customHeight="1">
      <c r="N1538" s="778"/>
      <c r="O1538" s="778"/>
      <c r="P1538" s="778"/>
      <c r="Q1538" s="778"/>
      <c r="R1538" s="778"/>
      <c r="S1538" s="778"/>
    </row>
    <row r="1539" spans="14:19" ht="27.95" customHeight="1">
      <c r="N1539" s="778"/>
      <c r="O1539" s="778"/>
      <c r="P1539" s="778"/>
      <c r="Q1539" s="778"/>
      <c r="R1539" s="778"/>
      <c r="S1539" s="778"/>
    </row>
    <row r="1540" spans="14:19" ht="27.95" customHeight="1">
      <c r="N1540" s="778"/>
      <c r="O1540" s="778"/>
      <c r="P1540" s="778"/>
      <c r="Q1540" s="778"/>
      <c r="R1540" s="778"/>
      <c r="S1540" s="778"/>
    </row>
    <row r="1541" spans="14:19" ht="27.95" customHeight="1">
      <c r="N1541" s="778"/>
      <c r="O1541" s="778"/>
      <c r="P1541" s="778"/>
      <c r="Q1541" s="778"/>
      <c r="R1541" s="778"/>
      <c r="S1541" s="778"/>
    </row>
    <row r="1542" spans="14:19" ht="27.95" customHeight="1">
      <c r="N1542" s="778"/>
      <c r="O1542" s="778"/>
      <c r="P1542" s="778"/>
      <c r="Q1542" s="778"/>
      <c r="R1542" s="778"/>
      <c r="S1542" s="778"/>
    </row>
    <row r="1543" spans="14:19" ht="27.95" customHeight="1">
      <c r="N1543" s="778"/>
      <c r="O1543" s="778"/>
      <c r="P1543" s="778"/>
      <c r="Q1543" s="778"/>
      <c r="R1543" s="778"/>
      <c r="S1543" s="778"/>
    </row>
    <row r="1544" spans="14:19" ht="27.95" customHeight="1">
      <c r="N1544" s="778"/>
      <c r="O1544" s="778"/>
      <c r="P1544" s="778"/>
      <c r="Q1544" s="778"/>
      <c r="R1544" s="778"/>
      <c r="S1544" s="778"/>
    </row>
    <row r="1545" spans="14:19" ht="27.95" customHeight="1">
      <c r="N1545" s="778"/>
      <c r="O1545" s="778"/>
      <c r="P1545" s="778"/>
      <c r="Q1545" s="778"/>
      <c r="R1545" s="778"/>
      <c r="S1545" s="778"/>
    </row>
    <row r="1546" spans="14:19" ht="27.95" customHeight="1">
      <c r="N1546" s="778"/>
      <c r="O1546" s="778"/>
      <c r="P1546" s="778"/>
      <c r="Q1546" s="778"/>
      <c r="R1546" s="778"/>
      <c r="S1546" s="778"/>
    </row>
    <row r="1547" spans="14:19" ht="27.95" customHeight="1">
      <c r="N1547" s="778"/>
      <c r="O1547" s="778"/>
      <c r="P1547" s="778"/>
      <c r="Q1547" s="778"/>
      <c r="R1547" s="778"/>
      <c r="S1547" s="778"/>
    </row>
    <row r="1548" spans="14:19" ht="27.95" customHeight="1">
      <c r="N1548" s="778"/>
      <c r="O1548" s="778"/>
      <c r="P1548" s="778"/>
      <c r="Q1548" s="778"/>
      <c r="R1548" s="778"/>
      <c r="S1548" s="778"/>
    </row>
    <row r="1549" spans="14:19" ht="27.95" customHeight="1">
      <c r="N1549" s="778"/>
      <c r="O1549" s="778"/>
      <c r="P1549" s="778"/>
      <c r="Q1549" s="778"/>
      <c r="R1549" s="778"/>
      <c r="S1549" s="778"/>
    </row>
    <row r="1550" spans="14:19" ht="27.95" customHeight="1">
      <c r="N1550" s="778"/>
      <c r="O1550" s="778"/>
      <c r="P1550" s="778"/>
      <c r="Q1550" s="778"/>
      <c r="R1550" s="778"/>
      <c r="S1550" s="778"/>
    </row>
    <row r="1551" spans="14:19" ht="27.95" customHeight="1">
      <c r="N1551" s="778"/>
      <c r="O1551" s="778"/>
      <c r="P1551" s="778"/>
      <c r="Q1551" s="778"/>
      <c r="R1551" s="778"/>
      <c r="S1551" s="778"/>
    </row>
    <row r="1552" spans="14:19" ht="27.95" customHeight="1">
      <c r="N1552" s="778"/>
      <c r="O1552" s="778"/>
      <c r="P1552" s="778"/>
      <c r="Q1552" s="778"/>
      <c r="R1552" s="778"/>
      <c r="S1552" s="778"/>
    </row>
    <row r="1553" spans="14:19" ht="27.95" customHeight="1">
      <c r="N1553" s="778"/>
      <c r="O1553" s="778"/>
      <c r="P1553" s="778"/>
      <c r="Q1553" s="778"/>
      <c r="R1553" s="778"/>
      <c r="S1553" s="778"/>
    </row>
    <row r="1554" spans="14:19" ht="27.95" customHeight="1">
      <c r="N1554" s="778"/>
      <c r="O1554" s="778"/>
      <c r="P1554" s="778"/>
      <c r="Q1554" s="778"/>
      <c r="R1554" s="778"/>
      <c r="S1554" s="778"/>
    </row>
    <row r="1555" spans="14:19" ht="27.95" customHeight="1">
      <c r="N1555" s="778"/>
      <c r="O1555" s="778"/>
      <c r="P1555" s="778"/>
      <c r="Q1555" s="778"/>
      <c r="R1555" s="778"/>
      <c r="S1555" s="778"/>
    </row>
    <row r="1556" spans="14:19" ht="27.95" customHeight="1">
      <c r="N1556" s="778"/>
      <c r="O1556" s="778"/>
      <c r="P1556" s="778"/>
      <c r="Q1556" s="778"/>
      <c r="R1556" s="778"/>
      <c r="S1556" s="778"/>
    </row>
    <row r="1557" spans="14:19" ht="27.95" customHeight="1">
      <c r="N1557" s="778"/>
      <c r="O1557" s="778"/>
      <c r="P1557" s="778"/>
      <c r="Q1557" s="778"/>
      <c r="R1557" s="778"/>
      <c r="S1557" s="778"/>
    </row>
    <row r="1558" spans="14:19" ht="27.95" customHeight="1">
      <c r="N1558" s="778"/>
      <c r="O1558" s="778"/>
      <c r="P1558" s="778"/>
      <c r="Q1558" s="778"/>
      <c r="R1558" s="778"/>
      <c r="S1558" s="778"/>
    </row>
    <row r="1559" spans="14:19" ht="27.95" customHeight="1">
      <c r="N1559" s="778"/>
      <c r="O1559" s="778"/>
      <c r="P1559" s="778"/>
      <c r="Q1559" s="778"/>
      <c r="R1559" s="778"/>
      <c r="S1559" s="778"/>
    </row>
    <row r="1560" spans="14:19" ht="27.95" customHeight="1">
      <c r="N1560" s="778"/>
      <c r="O1560" s="778"/>
      <c r="P1560" s="778"/>
      <c r="Q1560" s="778"/>
      <c r="R1560" s="778"/>
      <c r="S1560" s="778"/>
    </row>
    <row r="1561" spans="14:19" ht="27.95" customHeight="1">
      <c r="N1561" s="778"/>
      <c r="O1561" s="778"/>
      <c r="P1561" s="778"/>
      <c r="Q1561" s="778"/>
      <c r="R1561" s="778"/>
      <c r="S1561" s="778"/>
    </row>
    <row r="1562" spans="14:19" ht="27.95" customHeight="1">
      <c r="N1562" s="778"/>
      <c r="O1562" s="778"/>
      <c r="P1562" s="778"/>
      <c r="Q1562" s="778"/>
      <c r="R1562" s="778"/>
      <c r="S1562" s="778"/>
    </row>
    <row r="1563" spans="14:19" ht="27.95" customHeight="1">
      <c r="N1563" s="778"/>
      <c r="O1563" s="778"/>
      <c r="P1563" s="778"/>
      <c r="Q1563" s="778"/>
      <c r="R1563" s="778"/>
      <c r="S1563" s="778"/>
    </row>
    <row r="1564" spans="14:19" ht="27.95" customHeight="1">
      <c r="N1564" s="778"/>
      <c r="O1564" s="778"/>
      <c r="P1564" s="778"/>
      <c r="Q1564" s="778"/>
      <c r="R1564" s="778"/>
      <c r="S1564" s="778"/>
    </row>
    <row r="1565" spans="14:19" ht="27.95" customHeight="1">
      <c r="N1565" s="778"/>
      <c r="O1565" s="778"/>
      <c r="P1565" s="778"/>
      <c r="Q1565" s="778"/>
      <c r="R1565" s="778"/>
      <c r="S1565" s="778"/>
    </row>
    <row r="1566" spans="14:19" ht="27.95" customHeight="1">
      <c r="N1566" s="778"/>
      <c r="O1566" s="778"/>
      <c r="P1566" s="778"/>
      <c r="Q1566" s="778"/>
      <c r="R1566" s="778"/>
      <c r="S1566" s="778"/>
    </row>
    <row r="1567" spans="14:19" ht="27.95" customHeight="1">
      <c r="N1567" s="778"/>
      <c r="O1567" s="778"/>
      <c r="P1567" s="778"/>
      <c r="Q1567" s="778"/>
      <c r="R1567" s="778"/>
      <c r="S1567" s="778"/>
    </row>
    <row r="1568" spans="14:19" ht="27.95" customHeight="1">
      <c r="N1568" s="778"/>
      <c r="O1568" s="778"/>
      <c r="P1568" s="778"/>
      <c r="Q1568" s="778"/>
      <c r="R1568" s="778"/>
      <c r="S1568" s="778"/>
    </row>
    <row r="1569" spans="14:19" ht="27.95" customHeight="1">
      <c r="N1569" s="778"/>
      <c r="O1569" s="778"/>
      <c r="P1569" s="778"/>
      <c r="Q1569" s="778"/>
      <c r="R1569" s="778"/>
      <c r="S1569" s="778"/>
    </row>
    <row r="1570" spans="14:19" ht="27.95" customHeight="1">
      <c r="N1570" s="778"/>
      <c r="O1570" s="778"/>
      <c r="P1570" s="778"/>
      <c r="Q1570" s="778"/>
      <c r="R1570" s="778"/>
      <c r="S1570" s="778"/>
    </row>
    <row r="1571" spans="14:19" ht="27.95" customHeight="1">
      <c r="N1571" s="778"/>
      <c r="O1571" s="778"/>
      <c r="P1571" s="778"/>
      <c r="Q1571" s="778"/>
      <c r="R1571" s="778"/>
      <c r="S1571" s="778"/>
    </row>
    <row r="1572" spans="14:19" ht="27.95" customHeight="1">
      <c r="N1572" s="778"/>
      <c r="O1572" s="778"/>
      <c r="P1572" s="778"/>
      <c r="Q1572" s="778"/>
      <c r="R1572" s="778"/>
      <c r="S1572" s="778"/>
    </row>
    <row r="1573" spans="14:19" ht="27.95" customHeight="1">
      <c r="N1573" s="778"/>
      <c r="O1573" s="778"/>
      <c r="P1573" s="778"/>
      <c r="Q1573" s="778"/>
      <c r="R1573" s="778"/>
      <c r="S1573" s="778"/>
    </row>
    <row r="1574" spans="14:19" ht="27.95" customHeight="1">
      <c r="N1574" s="778"/>
      <c r="O1574" s="778"/>
      <c r="P1574" s="778"/>
      <c r="Q1574" s="778"/>
      <c r="R1574" s="778"/>
      <c r="S1574" s="778"/>
    </row>
    <row r="1575" spans="14:19" ht="27.95" customHeight="1">
      <c r="N1575" s="778"/>
      <c r="O1575" s="778"/>
      <c r="P1575" s="778"/>
      <c r="Q1575" s="778"/>
      <c r="R1575" s="778"/>
      <c r="S1575" s="778"/>
    </row>
    <row r="1576" spans="14:19" ht="27.95" customHeight="1">
      <c r="N1576" s="778"/>
      <c r="O1576" s="778"/>
      <c r="P1576" s="778"/>
      <c r="Q1576" s="778"/>
      <c r="R1576" s="778"/>
      <c r="S1576" s="778"/>
    </row>
    <row r="1577" spans="14:19" ht="27.95" customHeight="1">
      <c r="N1577" s="778"/>
      <c r="O1577" s="778"/>
      <c r="P1577" s="778"/>
      <c r="Q1577" s="778"/>
      <c r="R1577" s="778"/>
      <c r="S1577" s="778"/>
    </row>
    <row r="1578" spans="14:19" ht="27.95" customHeight="1">
      <c r="N1578" s="778"/>
      <c r="O1578" s="778"/>
      <c r="P1578" s="778"/>
      <c r="Q1578" s="778"/>
      <c r="R1578" s="778"/>
      <c r="S1578" s="778"/>
    </row>
    <row r="1579" spans="14:19" ht="27.95" customHeight="1">
      <c r="N1579" s="778"/>
      <c r="O1579" s="778"/>
      <c r="P1579" s="778"/>
      <c r="Q1579" s="778"/>
      <c r="R1579" s="778"/>
      <c r="S1579" s="778"/>
    </row>
    <row r="1580" spans="14:19" ht="27.95" customHeight="1">
      <c r="N1580" s="778"/>
      <c r="O1580" s="778"/>
      <c r="P1580" s="778"/>
      <c r="Q1580" s="778"/>
      <c r="R1580" s="778"/>
      <c r="S1580" s="778"/>
    </row>
    <row r="1581" spans="14:19" ht="27.95" customHeight="1">
      <c r="N1581" s="778"/>
      <c r="O1581" s="778"/>
      <c r="P1581" s="778"/>
      <c r="Q1581" s="778"/>
      <c r="R1581" s="778"/>
      <c r="S1581" s="778"/>
    </row>
    <row r="1582" spans="14:19" ht="27.95" customHeight="1">
      <c r="N1582" s="778"/>
      <c r="O1582" s="778"/>
      <c r="P1582" s="778"/>
      <c r="Q1582" s="778"/>
      <c r="R1582" s="778"/>
      <c r="S1582" s="778"/>
    </row>
    <row r="1583" spans="14:19" ht="27.95" customHeight="1">
      <c r="N1583" s="778"/>
      <c r="O1583" s="778"/>
      <c r="P1583" s="778"/>
      <c r="Q1583" s="778"/>
      <c r="R1583" s="778"/>
      <c r="S1583" s="778"/>
    </row>
    <row r="1584" spans="14:19" ht="27.95" customHeight="1">
      <c r="N1584" s="778"/>
      <c r="O1584" s="778"/>
      <c r="P1584" s="778"/>
      <c r="Q1584" s="778"/>
      <c r="R1584" s="778"/>
      <c r="S1584" s="778"/>
    </row>
    <row r="1585" spans="14:19" ht="27.95" customHeight="1">
      <c r="N1585" s="778"/>
      <c r="O1585" s="778"/>
      <c r="P1585" s="778"/>
      <c r="Q1585" s="778"/>
      <c r="R1585" s="778"/>
      <c r="S1585" s="778"/>
    </row>
    <row r="1586" spans="14:19" ht="27.95" customHeight="1">
      <c r="N1586" s="778"/>
      <c r="O1586" s="778"/>
      <c r="P1586" s="778"/>
      <c r="Q1586" s="778"/>
      <c r="R1586" s="778"/>
      <c r="S1586" s="778"/>
    </row>
    <row r="1587" spans="14:19" ht="27.95" customHeight="1">
      <c r="N1587" s="778"/>
      <c r="O1587" s="778"/>
      <c r="P1587" s="778"/>
      <c r="Q1587" s="778"/>
      <c r="R1587" s="778"/>
      <c r="S1587" s="778"/>
    </row>
    <row r="1588" spans="14:19" ht="27.95" customHeight="1">
      <c r="N1588" s="778"/>
      <c r="O1588" s="778"/>
      <c r="P1588" s="778"/>
      <c r="Q1588" s="778"/>
      <c r="R1588" s="778"/>
      <c r="S1588" s="778"/>
    </row>
    <row r="1589" spans="14:19" ht="27.95" customHeight="1">
      <c r="N1589" s="778"/>
      <c r="O1589" s="778"/>
      <c r="P1589" s="778"/>
      <c r="Q1589" s="778"/>
      <c r="R1589" s="778"/>
      <c r="S1589" s="778"/>
    </row>
    <row r="1590" spans="14:19" ht="27.95" customHeight="1">
      <c r="N1590" s="778"/>
      <c r="O1590" s="778"/>
      <c r="P1590" s="778"/>
      <c r="Q1590" s="778"/>
      <c r="R1590" s="778"/>
      <c r="S1590" s="778"/>
    </row>
    <row r="1591" spans="14:19" ht="27.95" customHeight="1">
      <c r="N1591" s="778"/>
      <c r="O1591" s="778"/>
      <c r="P1591" s="778"/>
      <c r="Q1591" s="778"/>
      <c r="R1591" s="778"/>
      <c r="S1591" s="778"/>
    </row>
    <row r="1592" spans="14:19" ht="27.95" customHeight="1">
      <c r="N1592" s="778"/>
      <c r="O1592" s="778"/>
      <c r="P1592" s="778"/>
      <c r="Q1592" s="778"/>
      <c r="R1592" s="778"/>
      <c r="S1592" s="778"/>
    </row>
    <row r="1593" spans="14:19" ht="27.95" customHeight="1">
      <c r="N1593" s="778"/>
      <c r="O1593" s="778"/>
      <c r="P1593" s="778"/>
      <c r="Q1593" s="778"/>
      <c r="R1593" s="778"/>
      <c r="S1593" s="778"/>
    </row>
    <row r="1594" spans="14:19" ht="27.95" customHeight="1">
      <c r="N1594" s="778"/>
      <c r="O1594" s="778"/>
      <c r="P1594" s="778"/>
      <c r="Q1594" s="778"/>
      <c r="R1594" s="778"/>
      <c r="S1594" s="778"/>
    </row>
    <row r="1595" spans="14:19" ht="27.95" customHeight="1">
      <c r="N1595" s="778"/>
      <c r="O1595" s="778"/>
      <c r="P1595" s="778"/>
      <c r="Q1595" s="778"/>
      <c r="R1595" s="778"/>
      <c r="S1595" s="778"/>
    </row>
    <row r="1596" spans="14:19" ht="27.95" customHeight="1">
      <c r="N1596" s="778"/>
      <c r="O1596" s="778"/>
      <c r="P1596" s="778"/>
      <c r="Q1596" s="778"/>
      <c r="R1596" s="778"/>
      <c r="S1596" s="778"/>
    </row>
    <row r="1597" spans="14:19" ht="27.95" customHeight="1">
      <c r="N1597" s="778"/>
      <c r="O1597" s="778"/>
      <c r="P1597" s="778"/>
      <c r="Q1597" s="778"/>
      <c r="R1597" s="778"/>
      <c r="S1597" s="778"/>
    </row>
    <row r="1598" spans="14:19" ht="27.95" customHeight="1">
      <c r="N1598" s="778"/>
      <c r="O1598" s="778"/>
      <c r="P1598" s="778"/>
      <c r="Q1598" s="778"/>
      <c r="R1598" s="778"/>
      <c r="S1598" s="778"/>
    </row>
    <row r="1599" spans="14:19" ht="27.95" customHeight="1">
      <c r="N1599" s="778"/>
      <c r="O1599" s="778"/>
      <c r="P1599" s="778"/>
      <c r="Q1599" s="778"/>
      <c r="R1599" s="778"/>
      <c r="S1599" s="778"/>
    </row>
    <row r="1600" spans="14:19" ht="27.95" customHeight="1">
      <c r="N1600" s="778"/>
      <c r="O1600" s="778"/>
      <c r="P1600" s="778"/>
      <c r="Q1600" s="778"/>
      <c r="R1600" s="778"/>
      <c r="S1600" s="778"/>
    </row>
    <row r="1601" spans="14:19" ht="27.95" customHeight="1">
      <c r="N1601" s="778"/>
      <c r="O1601" s="778"/>
      <c r="P1601" s="778"/>
      <c r="Q1601" s="778"/>
      <c r="R1601" s="778"/>
      <c r="S1601" s="778"/>
    </row>
    <row r="1602" spans="14:19" ht="27.95" customHeight="1">
      <c r="N1602" s="778"/>
      <c r="O1602" s="778"/>
      <c r="P1602" s="778"/>
      <c r="Q1602" s="778"/>
      <c r="R1602" s="778"/>
      <c r="S1602" s="778"/>
    </row>
    <row r="1603" spans="14:19" ht="27.95" customHeight="1">
      <c r="N1603" s="778"/>
      <c r="O1603" s="778"/>
      <c r="P1603" s="778"/>
      <c r="Q1603" s="778"/>
      <c r="R1603" s="778"/>
      <c r="S1603" s="778"/>
    </row>
    <row r="1604" spans="14:19" ht="27.95" customHeight="1">
      <c r="N1604" s="778"/>
      <c r="O1604" s="778"/>
      <c r="P1604" s="778"/>
      <c r="Q1604" s="778"/>
      <c r="R1604" s="778"/>
      <c r="S1604" s="778"/>
    </row>
    <row r="1605" spans="14:19" ht="27.95" customHeight="1">
      <c r="N1605" s="778"/>
      <c r="O1605" s="778"/>
      <c r="P1605" s="778"/>
      <c r="Q1605" s="778"/>
      <c r="R1605" s="778"/>
      <c r="S1605" s="778"/>
    </row>
    <row r="1606" spans="14:19" ht="27.95" customHeight="1">
      <c r="N1606" s="778"/>
      <c r="O1606" s="778"/>
      <c r="P1606" s="778"/>
      <c r="Q1606" s="778"/>
      <c r="R1606" s="778"/>
      <c r="S1606" s="778"/>
    </row>
    <row r="1607" spans="14:19" ht="27.95" customHeight="1">
      <c r="N1607" s="778"/>
      <c r="O1607" s="778"/>
      <c r="P1607" s="778"/>
      <c r="Q1607" s="778"/>
      <c r="R1607" s="778"/>
      <c r="S1607" s="778"/>
    </row>
    <row r="1608" spans="14:19" ht="27.95" customHeight="1">
      <c r="N1608" s="778"/>
      <c r="O1608" s="778"/>
      <c r="P1608" s="778"/>
      <c r="Q1608" s="778"/>
      <c r="R1608" s="778"/>
      <c r="S1608" s="778"/>
    </row>
    <row r="1609" spans="14:19" ht="27.95" customHeight="1">
      <c r="N1609" s="778"/>
      <c r="O1609" s="778"/>
      <c r="P1609" s="778"/>
      <c r="Q1609" s="778"/>
      <c r="R1609" s="778"/>
      <c r="S1609" s="778"/>
    </row>
    <row r="1610" spans="14:19" ht="27.95" customHeight="1">
      <c r="N1610" s="778"/>
      <c r="O1610" s="778"/>
      <c r="P1610" s="778"/>
      <c r="Q1610" s="778"/>
      <c r="R1610" s="778"/>
      <c r="S1610" s="778"/>
    </row>
    <row r="1611" spans="14:19" ht="27.95" customHeight="1">
      <c r="N1611" s="778"/>
      <c r="O1611" s="778"/>
      <c r="P1611" s="778"/>
      <c r="Q1611" s="778"/>
      <c r="R1611" s="778"/>
      <c r="S1611" s="778"/>
    </row>
    <row r="1612" spans="14:19" ht="27.95" customHeight="1">
      <c r="N1612" s="778"/>
      <c r="O1612" s="778"/>
      <c r="P1612" s="778"/>
      <c r="Q1612" s="778"/>
      <c r="R1612" s="778"/>
      <c r="S1612" s="778"/>
    </row>
    <row r="1613" spans="14:19" ht="27.95" customHeight="1">
      <c r="N1613" s="778"/>
      <c r="O1613" s="778"/>
      <c r="P1613" s="778"/>
      <c r="Q1613" s="778"/>
      <c r="R1613" s="778"/>
      <c r="S1613" s="778"/>
    </row>
    <row r="1614" spans="14:19" ht="27.95" customHeight="1">
      <c r="N1614" s="778"/>
      <c r="O1614" s="778"/>
      <c r="P1614" s="778"/>
      <c r="Q1614" s="778"/>
      <c r="R1614" s="778"/>
      <c r="S1614" s="778"/>
    </row>
    <row r="1615" spans="14:19" ht="27.95" customHeight="1">
      <c r="N1615" s="778"/>
      <c r="O1615" s="778"/>
      <c r="P1615" s="778"/>
      <c r="Q1615" s="778"/>
      <c r="R1615" s="778"/>
      <c r="S1615" s="778"/>
    </row>
    <row r="1616" spans="14:19" ht="27.95" customHeight="1">
      <c r="N1616" s="778"/>
      <c r="O1616" s="778"/>
      <c r="P1616" s="778"/>
      <c r="Q1616" s="778"/>
      <c r="R1616" s="778"/>
      <c r="S1616" s="778"/>
    </row>
    <row r="1617" spans="14:19" ht="27.95" customHeight="1">
      <c r="N1617" s="778"/>
      <c r="O1617" s="778"/>
      <c r="P1617" s="778"/>
      <c r="Q1617" s="778"/>
      <c r="R1617" s="778"/>
      <c r="S1617" s="778"/>
    </row>
    <row r="1618" spans="14:19" ht="27.95" customHeight="1">
      <c r="N1618" s="778"/>
      <c r="O1618" s="778"/>
      <c r="P1618" s="778"/>
      <c r="Q1618" s="778"/>
      <c r="R1618" s="778"/>
      <c r="S1618" s="778"/>
    </row>
    <row r="1619" spans="14:19" ht="27.95" customHeight="1">
      <c r="N1619" s="778"/>
      <c r="O1619" s="778"/>
      <c r="P1619" s="778"/>
      <c r="Q1619" s="778"/>
      <c r="R1619" s="778"/>
      <c r="S1619" s="778"/>
    </row>
    <row r="1620" spans="14:19" ht="27.95" customHeight="1">
      <c r="N1620" s="778"/>
      <c r="O1620" s="778"/>
      <c r="P1620" s="778"/>
      <c r="Q1620" s="778"/>
      <c r="R1620" s="778"/>
      <c r="S1620" s="778"/>
    </row>
    <row r="1621" spans="14:19" ht="27.95" customHeight="1">
      <c r="N1621" s="778"/>
      <c r="O1621" s="778"/>
      <c r="P1621" s="778"/>
      <c r="Q1621" s="778"/>
      <c r="R1621" s="778"/>
      <c r="S1621" s="778"/>
    </row>
    <row r="1622" spans="14:19" ht="27.95" customHeight="1">
      <c r="N1622" s="778"/>
      <c r="O1622" s="778"/>
      <c r="P1622" s="778"/>
      <c r="Q1622" s="778"/>
      <c r="R1622" s="778"/>
      <c r="S1622" s="778"/>
    </row>
    <row r="1623" spans="14:19" ht="27.95" customHeight="1">
      <c r="N1623" s="778"/>
      <c r="O1623" s="778"/>
      <c r="P1623" s="778"/>
      <c r="Q1623" s="778"/>
      <c r="R1623" s="778"/>
      <c r="S1623" s="778"/>
    </row>
    <row r="1624" spans="14:19" ht="27.95" customHeight="1">
      <c r="N1624" s="778"/>
      <c r="O1624" s="778"/>
      <c r="P1624" s="778"/>
      <c r="Q1624" s="778"/>
      <c r="R1624" s="778"/>
      <c r="S1624" s="778"/>
    </row>
    <row r="1625" spans="14:19" ht="27.95" customHeight="1">
      <c r="N1625" s="778"/>
      <c r="O1625" s="778"/>
      <c r="P1625" s="778"/>
      <c r="Q1625" s="778"/>
      <c r="R1625" s="778"/>
      <c r="S1625" s="778"/>
    </row>
    <row r="1626" spans="14:19" ht="27.95" customHeight="1">
      <c r="N1626" s="778"/>
      <c r="O1626" s="778"/>
      <c r="P1626" s="778"/>
      <c r="Q1626" s="778"/>
      <c r="R1626" s="778"/>
      <c r="S1626" s="778"/>
    </row>
    <row r="1627" spans="14:19" ht="27.95" customHeight="1">
      <c r="N1627" s="778"/>
      <c r="O1627" s="778"/>
      <c r="P1627" s="778"/>
      <c r="Q1627" s="778"/>
      <c r="R1627" s="778"/>
      <c r="S1627" s="778"/>
    </row>
    <row r="1628" spans="14:19" ht="27.95" customHeight="1">
      <c r="N1628" s="778"/>
      <c r="O1628" s="778"/>
      <c r="P1628" s="778"/>
      <c r="Q1628" s="778"/>
      <c r="R1628" s="778"/>
      <c r="S1628" s="778"/>
    </row>
    <row r="1629" spans="14:19" ht="27.95" customHeight="1">
      <c r="N1629" s="778"/>
      <c r="O1629" s="778"/>
      <c r="P1629" s="778"/>
      <c r="Q1629" s="778"/>
      <c r="R1629" s="778"/>
      <c r="S1629" s="778"/>
    </row>
    <row r="1630" spans="14:19" ht="27.95" customHeight="1">
      <c r="N1630" s="778"/>
      <c r="O1630" s="778"/>
      <c r="P1630" s="778"/>
      <c r="Q1630" s="778"/>
      <c r="R1630" s="778"/>
      <c r="S1630" s="778"/>
    </row>
    <row r="1631" spans="14:19" ht="27.95" customHeight="1">
      <c r="N1631" s="778"/>
      <c r="O1631" s="778"/>
      <c r="P1631" s="778"/>
      <c r="Q1631" s="778"/>
      <c r="R1631" s="778"/>
      <c r="S1631" s="778"/>
    </row>
    <row r="1632" spans="14:19" ht="27.95" customHeight="1">
      <c r="N1632" s="778"/>
      <c r="O1632" s="778"/>
      <c r="P1632" s="778"/>
      <c r="Q1632" s="778"/>
      <c r="R1632" s="778"/>
      <c r="S1632" s="778"/>
    </row>
    <row r="1633" spans="14:19" ht="27.95" customHeight="1">
      <c r="N1633" s="778"/>
      <c r="O1633" s="778"/>
      <c r="P1633" s="778"/>
      <c r="Q1633" s="778"/>
      <c r="R1633" s="778"/>
      <c r="S1633" s="778"/>
    </row>
    <row r="1634" spans="14:19" ht="27.95" customHeight="1">
      <c r="N1634" s="778"/>
      <c r="O1634" s="778"/>
      <c r="P1634" s="778"/>
      <c r="Q1634" s="778"/>
      <c r="R1634" s="778"/>
      <c r="S1634" s="778"/>
    </row>
    <row r="1635" spans="14:19" ht="27.95" customHeight="1">
      <c r="N1635" s="778"/>
      <c r="O1635" s="778"/>
      <c r="P1635" s="778"/>
      <c r="Q1635" s="778"/>
      <c r="R1635" s="778"/>
      <c r="S1635" s="778"/>
    </row>
    <row r="1636" spans="14:19" ht="27.95" customHeight="1">
      <c r="N1636" s="778"/>
      <c r="O1636" s="778"/>
      <c r="P1636" s="778"/>
      <c r="Q1636" s="778"/>
      <c r="R1636" s="778"/>
      <c r="S1636" s="778"/>
    </row>
    <row r="1637" spans="14:19" ht="27.95" customHeight="1">
      <c r="N1637" s="778"/>
      <c r="O1637" s="778"/>
      <c r="P1637" s="778"/>
      <c r="Q1637" s="778"/>
      <c r="R1637" s="778"/>
      <c r="S1637" s="778"/>
    </row>
    <row r="1638" spans="14:19" ht="27.95" customHeight="1">
      <c r="N1638" s="778"/>
      <c r="O1638" s="778"/>
      <c r="P1638" s="778"/>
      <c r="Q1638" s="778"/>
      <c r="R1638" s="778"/>
      <c r="S1638" s="778"/>
    </row>
    <row r="1639" spans="14:19" ht="27.95" customHeight="1">
      <c r="N1639" s="778"/>
      <c r="O1639" s="778"/>
      <c r="P1639" s="778"/>
      <c r="Q1639" s="778"/>
      <c r="R1639" s="778"/>
      <c r="S1639" s="778"/>
    </row>
    <row r="1640" spans="14:19" ht="27.95" customHeight="1">
      <c r="N1640" s="778"/>
      <c r="O1640" s="778"/>
      <c r="P1640" s="778"/>
      <c r="Q1640" s="778"/>
      <c r="R1640" s="778"/>
      <c r="S1640" s="778"/>
    </row>
    <row r="1641" spans="14:19" ht="27.95" customHeight="1">
      <c r="N1641" s="778"/>
      <c r="O1641" s="778"/>
      <c r="P1641" s="778"/>
      <c r="Q1641" s="778"/>
      <c r="R1641" s="778"/>
      <c r="S1641" s="778"/>
    </row>
    <row r="1642" spans="14:19" ht="27.95" customHeight="1">
      <c r="N1642" s="778"/>
      <c r="O1642" s="778"/>
      <c r="P1642" s="778"/>
      <c r="Q1642" s="778"/>
      <c r="R1642" s="778"/>
      <c r="S1642" s="778"/>
    </row>
    <row r="1643" spans="14:19" ht="27.95" customHeight="1">
      <c r="N1643" s="778"/>
      <c r="O1643" s="778"/>
      <c r="P1643" s="778"/>
      <c r="Q1643" s="778"/>
      <c r="R1643" s="778"/>
      <c r="S1643" s="778"/>
    </row>
    <row r="1644" spans="14:19" ht="27.95" customHeight="1">
      <c r="N1644" s="778"/>
      <c r="O1644" s="778"/>
      <c r="P1644" s="778"/>
      <c r="Q1644" s="778"/>
      <c r="R1644" s="778"/>
      <c r="S1644" s="778"/>
    </row>
    <row r="1645" spans="14:19" ht="27.95" customHeight="1">
      <c r="N1645" s="778"/>
      <c r="O1645" s="778"/>
      <c r="P1645" s="778"/>
      <c r="Q1645" s="778"/>
      <c r="R1645" s="778"/>
      <c r="S1645" s="778"/>
    </row>
    <row r="1646" spans="14:19" ht="27.95" customHeight="1">
      <c r="N1646" s="778"/>
      <c r="O1646" s="778"/>
      <c r="P1646" s="778"/>
      <c r="Q1646" s="778"/>
      <c r="R1646" s="778"/>
      <c r="S1646" s="778"/>
    </row>
    <row r="1647" spans="14:19" ht="27.95" customHeight="1">
      <c r="N1647" s="778"/>
      <c r="O1647" s="778"/>
      <c r="P1647" s="778"/>
      <c r="Q1647" s="778"/>
      <c r="R1647" s="778"/>
      <c r="S1647" s="778"/>
    </row>
    <row r="1648" spans="14:19" ht="27.95" customHeight="1">
      <c r="N1648" s="778"/>
      <c r="O1648" s="778"/>
      <c r="P1648" s="778"/>
      <c r="Q1648" s="778"/>
      <c r="R1648" s="778"/>
      <c r="S1648" s="778"/>
    </row>
    <row r="1649" spans="14:19" ht="27.95" customHeight="1">
      <c r="N1649" s="778"/>
      <c r="O1649" s="778"/>
      <c r="P1649" s="778"/>
      <c r="Q1649" s="778"/>
      <c r="R1649" s="778"/>
      <c r="S1649" s="778"/>
    </row>
    <row r="1650" spans="14:19" ht="27.95" customHeight="1">
      <c r="N1650" s="778"/>
      <c r="O1650" s="778"/>
      <c r="P1650" s="778"/>
      <c r="Q1650" s="778"/>
      <c r="R1650" s="778"/>
      <c r="S1650" s="778"/>
    </row>
    <row r="1651" spans="14:19" ht="27.95" customHeight="1">
      <c r="N1651" s="778"/>
      <c r="O1651" s="778"/>
      <c r="P1651" s="778"/>
      <c r="Q1651" s="778"/>
      <c r="R1651" s="778"/>
      <c r="S1651" s="778"/>
    </row>
    <row r="1652" spans="14:19" ht="27.95" customHeight="1">
      <c r="N1652" s="778"/>
      <c r="O1652" s="778"/>
      <c r="P1652" s="778"/>
      <c r="Q1652" s="778"/>
      <c r="R1652" s="778"/>
      <c r="S1652" s="778"/>
    </row>
    <row r="1653" spans="14:19" ht="27.95" customHeight="1">
      <c r="N1653" s="778"/>
      <c r="O1653" s="778"/>
      <c r="P1653" s="778"/>
      <c r="Q1653" s="778"/>
      <c r="R1653" s="778"/>
      <c r="S1653" s="778"/>
    </row>
    <row r="1654" spans="14:19" ht="27.95" customHeight="1">
      <c r="N1654" s="778"/>
      <c r="O1654" s="778"/>
      <c r="P1654" s="778"/>
      <c r="Q1654" s="778"/>
      <c r="R1654" s="778"/>
      <c r="S1654" s="778"/>
    </row>
    <row r="1655" spans="14:19" ht="27.95" customHeight="1">
      <c r="N1655" s="778"/>
      <c r="O1655" s="778"/>
      <c r="P1655" s="778"/>
      <c r="Q1655" s="778"/>
      <c r="R1655" s="778"/>
      <c r="S1655" s="778"/>
    </row>
    <row r="1656" spans="14:19" ht="27.95" customHeight="1">
      <c r="N1656" s="778"/>
      <c r="O1656" s="778"/>
      <c r="P1656" s="778"/>
      <c r="Q1656" s="778"/>
      <c r="R1656" s="778"/>
      <c r="S1656" s="778"/>
    </row>
    <row r="1657" spans="14:19" ht="27.95" customHeight="1">
      <c r="N1657" s="778"/>
      <c r="O1657" s="778"/>
      <c r="P1657" s="778"/>
      <c r="Q1657" s="778"/>
      <c r="R1657" s="778"/>
      <c r="S1657" s="778"/>
    </row>
    <row r="1658" spans="14:19" ht="27.95" customHeight="1">
      <c r="N1658" s="778"/>
      <c r="O1658" s="778"/>
      <c r="P1658" s="778"/>
      <c r="Q1658" s="778"/>
      <c r="R1658" s="778"/>
      <c r="S1658" s="778"/>
    </row>
    <row r="1659" spans="14:19" ht="27.95" customHeight="1">
      <c r="N1659" s="778"/>
      <c r="O1659" s="778"/>
      <c r="P1659" s="778"/>
      <c r="Q1659" s="778"/>
      <c r="R1659" s="778"/>
      <c r="S1659" s="778"/>
    </row>
    <row r="1660" spans="14:19" ht="27.95" customHeight="1">
      <c r="N1660" s="778"/>
      <c r="O1660" s="778"/>
      <c r="P1660" s="778"/>
      <c r="Q1660" s="778"/>
      <c r="R1660" s="778"/>
      <c r="S1660" s="778"/>
    </row>
    <row r="1661" spans="14:19" ht="27.95" customHeight="1">
      <c r="N1661" s="778"/>
      <c r="O1661" s="778"/>
      <c r="P1661" s="778"/>
      <c r="Q1661" s="778"/>
      <c r="R1661" s="778"/>
      <c r="S1661" s="778"/>
    </row>
    <row r="1662" spans="14:19" ht="27.95" customHeight="1">
      <c r="N1662" s="778"/>
      <c r="O1662" s="778"/>
      <c r="P1662" s="778"/>
      <c r="Q1662" s="778"/>
      <c r="R1662" s="778"/>
      <c r="S1662" s="778"/>
    </row>
    <row r="1663" spans="14:19" ht="27.95" customHeight="1">
      <c r="N1663" s="778"/>
      <c r="O1663" s="778"/>
      <c r="P1663" s="778"/>
      <c r="Q1663" s="778"/>
      <c r="R1663" s="778"/>
      <c r="S1663" s="778"/>
    </row>
    <row r="1664" spans="14:19" ht="27.95" customHeight="1">
      <c r="N1664" s="778"/>
      <c r="O1664" s="778"/>
      <c r="P1664" s="778"/>
      <c r="Q1664" s="778"/>
      <c r="R1664" s="778"/>
      <c r="S1664" s="778"/>
    </row>
    <row r="1665" spans="14:19" ht="27.95" customHeight="1">
      <c r="N1665" s="778"/>
      <c r="O1665" s="778"/>
      <c r="P1665" s="778"/>
      <c r="Q1665" s="778"/>
      <c r="R1665" s="778"/>
      <c r="S1665" s="778"/>
    </row>
    <row r="1666" spans="14:19" ht="27.95" customHeight="1">
      <c r="N1666" s="778"/>
      <c r="O1666" s="778"/>
      <c r="P1666" s="778"/>
      <c r="Q1666" s="778"/>
      <c r="R1666" s="778"/>
      <c r="S1666" s="778"/>
    </row>
    <row r="1667" spans="14:19" ht="27.95" customHeight="1">
      <c r="N1667" s="778"/>
      <c r="O1667" s="778"/>
      <c r="P1667" s="778"/>
      <c r="Q1667" s="778"/>
      <c r="R1667" s="778"/>
      <c r="S1667" s="778"/>
    </row>
    <row r="1668" spans="14:19" ht="27.95" customHeight="1">
      <c r="N1668" s="778"/>
      <c r="O1668" s="778"/>
      <c r="P1668" s="778"/>
      <c r="Q1668" s="778"/>
      <c r="R1668" s="778"/>
      <c r="S1668" s="778"/>
    </row>
    <row r="1669" spans="14:19" ht="27.95" customHeight="1">
      <c r="N1669" s="778"/>
      <c r="O1669" s="778"/>
      <c r="P1669" s="778"/>
      <c r="Q1669" s="778"/>
      <c r="R1669" s="778"/>
      <c r="S1669" s="778"/>
    </row>
    <row r="1670" spans="14:19" ht="27.95" customHeight="1">
      <c r="N1670" s="778"/>
      <c r="O1670" s="778"/>
      <c r="P1670" s="778"/>
      <c r="Q1670" s="778"/>
      <c r="R1670" s="778"/>
      <c r="S1670" s="778"/>
    </row>
    <row r="1671" spans="14:19" ht="27.95" customHeight="1">
      <c r="N1671" s="778"/>
      <c r="O1671" s="778"/>
      <c r="P1671" s="778"/>
      <c r="Q1671" s="778"/>
      <c r="R1671" s="778"/>
      <c r="S1671" s="778"/>
    </row>
    <row r="1672" spans="14:19" ht="27.95" customHeight="1">
      <c r="N1672" s="778"/>
      <c r="O1672" s="778"/>
      <c r="P1672" s="778"/>
      <c r="Q1672" s="778"/>
      <c r="R1672" s="778"/>
      <c r="S1672" s="778"/>
    </row>
    <row r="1673" spans="14:19" ht="27.95" customHeight="1">
      <c r="N1673" s="778"/>
      <c r="O1673" s="778"/>
      <c r="P1673" s="778"/>
      <c r="Q1673" s="778"/>
      <c r="R1673" s="778"/>
      <c r="S1673" s="778"/>
    </row>
    <row r="1674" spans="14:19" ht="27.95" customHeight="1">
      <c r="N1674" s="778"/>
      <c r="O1674" s="778"/>
      <c r="P1674" s="778"/>
      <c r="Q1674" s="778"/>
      <c r="R1674" s="778"/>
      <c r="S1674" s="778"/>
    </row>
    <row r="1675" spans="14:19" ht="27.95" customHeight="1">
      <c r="N1675" s="778"/>
      <c r="O1675" s="778"/>
      <c r="P1675" s="778"/>
      <c r="Q1675" s="778"/>
      <c r="R1675" s="778"/>
      <c r="S1675" s="778"/>
    </row>
    <row r="1676" spans="14:19" ht="27.95" customHeight="1">
      <c r="N1676" s="778"/>
      <c r="O1676" s="778"/>
      <c r="P1676" s="778"/>
      <c r="Q1676" s="778"/>
      <c r="R1676" s="778"/>
      <c r="S1676" s="778"/>
    </row>
    <row r="1677" spans="14:19" ht="27.95" customHeight="1">
      <c r="N1677" s="778"/>
      <c r="O1677" s="778"/>
      <c r="P1677" s="778"/>
      <c r="Q1677" s="778"/>
      <c r="R1677" s="778"/>
      <c r="S1677" s="778"/>
    </row>
    <row r="1678" spans="14:19" ht="27.95" customHeight="1">
      <c r="N1678" s="778"/>
      <c r="O1678" s="778"/>
      <c r="P1678" s="778"/>
      <c r="Q1678" s="778"/>
      <c r="R1678" s="778"/>
      <c r="S1678" s="778"/>
    </row>
    <row r="1679" spans="14:19" ht="27.95" customHeight="1">
      <c r="N1679" s="778"/>
      <c r="O1679" s="778"/>
      <c r="P1679" s="778"/>
      <c r="Q1679" s="778"/>
      <c r="R1679" s="778"/>
      <c r="S1679" s="778"/>
    </row>
    <row r="1680" spans="14:19" ht="27.95" customHeight="1">
      <c r="N1680" s="778"/>
      <c r="O1680" s="778"/>
      <c r="P1680" s="778"/>
      <c r="Q1680" s="778"/>
      <c r="R1680" s="778"/>
      <c r="S1680" s="778"/>
    </row>
    <row r="1681" spans="14:19" ht="27.95" customHeight="1">
      <c r="N1681" s="778"/>
      <c r="O1681" s="778"/>
      <c r="P1681" s="778"/>
      <c r="Q1681" s="778"/>
      <c r="R1681" s="778"/>
      <c r="S1681" s="778"/>
    </row>
    <row r="1682" spans="14:19" ht="27.95" customHeight="1">
      <c r="N1682" s="778"/>
      <c r="O1682" s="778"/>
      <c r="P1682" s="778"/>
      <c r="Q1682" s="778"/>
      <c r="R1682" s="778"/>
      <c r="S1682" s="778"/>
    </row>
    <row r="1683" spans="14:19" ht="27.95" customHeight="1">
      <c r="N1683" s="778"/>
      <c r="O1683" s="778"/>
      <c r="P1683" s="778"/>
      <c r="Q1683" s="778"/>
      <c r="R1683" s="778"/>
      <c r="S1683" s="778"/>
    </row>
    <row r="1684" spans="14:19" ht="27.95" customHeight="1">
      <c r="N1684" s="778"/>
      <c r="O1684" s="778"/>
      <c r="P1684" s="778"/>
      <c r="Q1684" s="778"/>
      <c r="R1684" s="778"/>
      <c r="S1684" s="778"/>
    </row>
    <row r="1685" spans="14:19" ht="27.95" customHeight="1">
      <c r="N1685" s="778"/>
      <c r="O1685" s="778"/>
      <c r="P1685" s="778"/>
      <c r="Q1685" s="778"/>
      <c r="R1685" s="778"/>
      <c r="S1685" s="778"/>
    </row>
    <row r="1686" spans="14:19" ht="27.95" customHeight="1">
      <c r="N1686" s="778"/>
      <c r="O1686" s="778"/>
      <c r="P1686" s="778"/>
      <c r="Q1686" s="778"/>
      <c r="R1686" s="778"/>
      <c r="S1686" s="778"/>
    </row>
    <row r="1687" spans="14:19" ht="27.95" customHeight="1">
      <c r="N1687" s="778"/>
      <c r="O1687" s="778"/>
      <c r="P1687" s="778"/>
      <c r="Q1687" s="778"/>
      <c r="R1687" s="778"/>
      <c r="S1687" s="778"/>
    </row>
    <row r="1688" spans="14:19" ht="27.95" customHeight="1">
      <c r="N1688" s="778"/>
      <c r="O1688" s="778"/>
      <c r="P1688" s="778"/>
      <c r="Q1688" s="778"/>
      <c r="R1688" s="778"/>
      <c r="S1688" s="778"/>
    </row>
    <row r="1689" spans="14:19" ht="27.95" customHeight="1">
      <c r="N1689" s="778"/>
      <c r="O1689" s="778"/>
      <c r="P1689" s="778"/>
      <c r="Q1689" s="778"/>
      <c r="R1689" s="778"/>
      <c r="S1689" s="778"/>
    </row>
    <row r="1690" spans="14:19" ht="27.95" customHeight="1">
      <c r="N1690" s="778"/>
      <c r="O1690" s="778"/>
      <c r="P1690" s="778"/>
      <c r="Q1690" s="778"/>
      <c r="R1690" s="778"/>
      <c r="S1690" s="778"/>
    </row>
    <row r="1691" spans="14:19" ht="27.95" customHeight="1">
      <c r="N1691" s="778"/>
      <c r="O1691" s="778"/>
      <c r="P1691" s="778"/>
      <c r="Q1691" s="778"/>
      <c r="R1691" s="778"/>
      <c r="S1691" s="778"/>
    </row>
    <row r="1692" spans="14:19" ht="27.95" customHeight="1">
      <c r="N1692" s="778"/>
      <c r="O1692" s="778"/>
      <c r="P1692" s="778"/>
      <c r="Q1692" s="778"/>
      <c r="R1692" s="778"/>
      <c r="S1692" s="778"/>
    </row>
    <row r="1693" spans="14:19" ht="27.95" customHeight="1">
      <c r="N1693" s="778"/>
      <c r="O1693" s="778"/>
      <c r="P1693" s="778"/>
      <c r="Q1693" s="778"/>
      <c r="R1693" s="778"/>
      <c r="S1693" s="778"/>
    </row>
    <row r="1694" spans="14:19" ht="27.95" customHeight="1">
      <c r="N1694" s="778"/>
      <c r="O1694" s="778"/>
      <c r="P1694" s="778"/>
      <c r="Q1694" s="778"/>
      <c r="R1694" s="778"/>
      <c r="S1694" s="778"/>
    </row>
    <row r="1695" spans="14:19" ht="27.95" customHeight="1">
      <c r="N1695" s="778"/>
      <c r="O1695" s="778"/>
      <c r="P1695" s="778"/>
      <c r="Q1695" s="778"/>
      <c r="R1695" s="778"/>
      <c r="S1695" s="778"/>
    </row>
    <row r="1696" spans="14:19" ht="27.95" customHeight="1">
      <c r="N1696" s="778"/>
      <c r="O1696" s="778"/>
      <c r="P1696" s="778"/>
      <c r="Q1696" s="778"/>
      <c r="R1696" s="778"/>
      <c r="S1696" s="778"/>
    </row>
    <row r="1697" spans="14:19" ht="27.95" customHeight="1">
      <c r="N1697" s="778"/>
      <c r="O1697" s="778"/>
      <c r="P1697" s="778"/>
      <c r="Q1697" s="778"/>
      <c r="R1697" s="778"/>
      <c r="S1697" s="778"/>
    </row>
    <row r="1698" spans="14:19" ht="27.95" customHeight="1">
      <c r="N1698" s="778"/>
      <c r="O1698" s="778"/>
      <c r="P1698" s="778"/>
      <c r="Q1698" s="778"/>
      <c r="R1698" s="778"/>
      <c r="S1698" s="778"/>
    </row>
    <row r="1699" spans="14:19" ht="27.95" customHeight="1">
      <c r="N1699" s="778"/>
      <c r="O1699" s="778"/>
      <c r="P1699" s="778"/>
      <c r="Q1699" s="778"/>
      <c r="R1699" s="778"/>
      <c r="S1699" s="778"/>
    </row>
    <row r="1700" spans="14:19" ht="27.95" customHeight="1">
      <c r="N1700" s="778"/>
      <c r="O1700" s="778"/>
      <c r="P1700" s="778"/>
      <c r="Q1700" s="778"/>
      <c r="R1700" s="778"/>
      <c r="S1700" s="778"/>
    </row>
    <row r="1701" spans="14:19" ht="27.95" customHeight="1">
      <c r="N1701" s="778"/>
      <c r="O1701" s="778"/>
      <c r="P1701" s="778"/>
      <c r="Q1701" s="778"/>
      <c r="R1701" s="778"/>
      <c r="S1701" s="778"/>
    </row>
    <row r="1702" spans="14:19" ht="27.95" customHeight="1">
      <c r="N1702" s="778"/>
      <c r="O1702" s="778"/>
      <c r="P1702" s="778"/>
      <c r="Q1702" s="778"/>
      <c r="R1702" s="778"/>
      <c r="S1702" s="778"/>
    </row>
    <row r="1703" spans="14:19" ht="27.95" customHeight="1">
      <c r="N1703" s="778"/>
      <c r="O1703" s="778"/>
      <c r="P1703" s="778"/>
      <c r="Q1703" s="778"/>
      <c r="R1703" s="778"/>
      <c r="S1703" s="778"/>
    </row>
    <row r="1704" spans="14:19" ht="27.95" customHeight="1">
      <c r="N1704" s="778"/>
      <c r="O1704" s="778"/>
      <c r="P1704" s="778"/>
      <c r="Q1704" s="778"/>
      <c r="R1704" s="778"/>
      <c r="S1704" s="778"/>
    </row>
    <row r="1705" spans="14:19" ht="27.95" customHeight="1">
      <c r="N1705" s="778"/>
      <c r="O1705" s="778"/>
      <c r="P1705" s="778"/>
      <c r="Q1705" s="778"/>
      <c r="R1705" s="778"/>
      <c r="S1705" s="778"/>
    </row>
    <row r="1706" spans="14:19" ht="27.95" customHeight="1">
      <c r="N1706" s="778"/>
      <c r="O1706" s="778"/>
      <c r="P1706" s="778"/>
      <c r="Q1706" s="778"/>
      <c r="R1706" s="778"/>
      <c r="S1706" s="778"/>
    </row>
    <row r="1707" spans="14:19" ht="27.95" customHeight="1">
      <c r="N1707" s="778"/>
      <c r="O1707" s="778"/>
      <c r="P1707" s="778"/>
      <c r="Q1707" s="778"/>
      <c r="R1707" s="778"/>
      <c r="S1707" s="778"/>
    </row>
    <row r="1708" spans="14:19" ht="27.95" customHeight="1">
      <c r="N1708" s="778"/>
      <c r="O1708" s="778"/>
      <c r="P1708" s="778"/>
      <c r="Q1708" s="778"/>
      <c r="R1708" s="778"/>
      <c r="S1708" s="778"/>
    </row>
    <row r="1709" spans="14:19" ht="27.95" customHeight="1">
      <c r="N1709" s="778"/>
      <c r="O1709" s="778"/>
      <c r="P1709" s="778"/>
      <c r="Q1709" s="778"/>
      <c r="R1709" s="778"/>
      <c r="S1709" s="778"/>
    </row>
    <row r="1710" spans="14:19" ht="27.95" customHeight="1">
      <c r="N1710" s="778"/>
      <c r="O1710" s="778"/>
      <c r="P1710" s="778"/>
      <c r="Q1710" s="778"/>
      <c r="R1710" s="778"/>
      <c r="S1710" s="778"/>
    </row>
    <row r="1711" spans="14:19" ht="27.95" customHeight="1">
      <c r="N1711" s="778"/>
      <c r="O1711" s="778"/>
      <c r="P1711" s="778"/>
      <c r="Q1711" s="778"/>
      <c r="R1711" s="778"/>
      <c r="S1711" s="778"/>
    </row>
    <row r="1712" spans="14:19" ht="27.95" customHeight="1">
      <c r="N1712" s="778"/>
      <c r="O1712" s="778"/>
      <c r="P1712" s="778"/>
      <c r="Q1712" s="778"/>
      <c r="R1712" s="778"/>
      <c r="S1712" s="778"/>
    </row>
    <row r="1713" spans="14:19" ht="27.95" customHeight="1">
      <c r="N1713" s="778"/>
      <c r="O1713" s="778"/>
      <c r="P1713" s="778"/>
      <c r="Q1713" s="778"/>
      <c r="R1713" s="778"/>
      <c r="S1713" s="778"/>
    </row>
    <row r="1714" spans="14:19" ht="27.95" customHeight="1">
      <c r="N1714" s="778"/>
      <c r="O1714" s="778"/>
      <c r="P1714" s="778"/>
      <c r="Q1714" s="778"/>
      <c r="R1714" s="778"/>
      <c r="S1714" s="778"/>
    </row>
    <row r="1715" spans="14:19" ht="27.95" customHeight="1">
      <c r="N1715" s="778"/>
      <c r="O1715" s="778"/>
      <c r="P1715" s="778"/>
      <c r="Q1715" s="778"/>
      <c r="R1715" s="778"/>
      <c r="S1715" s="778"/>
    </row>
    <row r="1716" spans="14:19" ht="27.95" customHeight="1">
      <c r="N1716" s="778"/>
      <c r="O1716" s="778"/>
      <c r="P1716" s="778"/>
      <c r="Q1716" s="778"/>
      <c r="R1716" s="778"/>
      <c r="S1716" s="778"/>
    </row>
    <row r="1717" spans="14:19" ht="27.95" customHeight="1">
      <c r="N1717" s="778"/>
      <c r="O1717" s="778"/>
      <c r="P1717" s="778"/>
      <c r="Q1717" s="778"/>
      <c r="R1717" s="778"/>
      <c r="S1717" s="778"/>
    </row>
    <row r="1718" spans="14:19" ht="27.95" customHeight="1">
      <c r="N1718" s="778"/>
      <c r="O1718" s="778"/>
      <c r="P1718" s="778"/>
      <c r="Q1718" s="778"/>
      <c r="R1718" s="778"/>
      <c r="S1718" s="778"/>
    </row>
    <row r="1719" spans="14:19" ht="27.95" customHeight="1">
      <c r="N1719" s="778"/>
      <c r="O1719" s="778"/>
      <c r="P1719" s="778"/>
      <c r="Q1719" s="778"/>
      <c r="R1719" s="778"/>
      <c r="S1719" s="778"/>
    </row>
    <row r="1720" spans="14:19" ht="27.95" customHeight="1">
      <c r="N1720" s="778"/>
      <c r="O1720" s="778"/>
      <c r="P1720" s="778"/>
      <c r="Q1720" s="778"/>
      <c r="R1720" s="778"/>
      <c r="S1720" s="778"/>
    </row>
    <row r="1721" spans="14:19" ht="27.95" customHeight="1">
      <c r="N1721" s="778"/>
      <c r="O1721" s="778"/>
      <c r="P1721" s="778"/>
      <c r="Q1721" s="778"/>
      <c r="R1721" s="778"/>
      <c r="S1721" s="778"/>
    </row>
    <row r="1722" spans="14:19" ht="27.95" customHeight="1">
      <c r="N1722" s="778"/>
      <c r="O1722" s="778"/>
      <c r="P1722" s="778"/>
      <c r="Q1722" s="778"/>
      <c r="R1722" s="778"/>
      <c r="S1722" s="778"/>
    </row>
    <row r="1723" spans="14:19" ht="27.95" customHeight="1">
      <c r="N1723" s="778"/>
      <c r="O1723" s="778"/>
      <c r="P1723" s="778"/>
      <c r="Q1723" s="778"/>
      <c r="R1723" s="778"/>
      <c r="S1723" s="778"/>
    </row>
    <row r="1724" spans="14:19" ht="27.95" customHeight="1">
      <c r="N1724" s="778"/>
      <c r="O1724" s="778"/>
      <c r="P1724" s="778"/>
      <c r="Q1724" s="778"/>
      <c r="R1724" s="778"/>
      <c r="S1724" s="778"/>
    </row>
    <row r="1725" spans="14:19" ht="27.95" customHeight="1">
      <c r="N1725" s="778"/>
      <c r="O1725" s="778"/>
      <c r="P1725" s="778"/>
      <c r="Q1725" s="778"/>
      <c r="R1725" s="778"/>
      <c r="S1725" s="778"/>
    </row>
    <row r="1726" spans="14:19" ht="27.95" customHeight="1">
      <c r="N1726" s="778"/>
      <c r="O1726" s="778"/>
      <c r="P1726" s="778"/>
      <c r="Q1726" s="778"/>
      <c r="R1726" s="778"/>
      <c r="S1726" s="778"/>
    </row>
    <row r="1727" spans="14:19" ht="27.95" customHeight="1">
      <c r="N1727" s="778"/>
      <c r="O1727" s="778"/>
      <c r="P1727" s="778"/>
      <c r="Q1727" s="778"/>
      <c r="R1727" s="778"/>
      <c r="S1727" s="778"/>
    </row>
    <row r="1728" spans="14:19" ht="27.95" customHeight="1">
      <c r="N1728" s="778"/>
      <c r="O1728" s="778"/>
      <c r="P1728" s="778"/>
      <c r="Q1728" s="778"/>
      <c r="R1728" s="778"/>
      <c r="S1728" s="778"/>
    </row>
    <row r="1729" spans="14:19" ht="27.95" customHeight="1">
      <c r="N1729" s="778"/>
      <c r="O1729" s="778"/>
      <c r="P1729" s="778"/>
      <c r="Q1729" s="778"/>
      <c r="R1729" s="778"/>
      <c r="S1729" s="778"/>
    </row>
    <row r="1730" spans="14:19" ht="27.95" customHeight="1">
      <c r="N1730" s="778"/>
      <c r="O1730" s="778"/>
      <c r="P1730" s="778"/>
      <c r="Q1730" s="778"/>
      <c r="R1730" s="778"/>
      <c r="S1730" s="778"/>
    </row>
    <row r="1731" spans="14:19" ht="27.95" customHeight="1">
      <c r="N1731" s="778"/>
      <c r="O1731" s="778"/>
      <c r="P1731" s="778"/>
      <c r="Q1731" s="778"/>
      <c r="R1731" s="778"/>
      <c r="S1731" s="778"/>
    </row>
    <row r="1732" spans="14:19" ht="27.95" customHeight="1">
      <c r="N1732" s="778"/>
      <c r="O1732" s="778"/>
      <c r="P1732" s="778"/>
      <c r="Q1732" s="778"/>
      <c r="R1732" s="778"/>
      <c r="S1732" s="778"/>
    </row>
    <row r="1733" spans="14:19" ht="27.95" customHeight="1">
      <c r="N1733" s="778"/>
      <c r="O1733" s="778"/>
      <c r="P1733" s="778"/>
      <c r="Q1733" s="778"/>
      <c r="R1733" s="778"/>
      <c r="S1733" s="778"/>
    </row>
    <row r="1734" spans="14:19" ht="27.95" customHeight="1">
      <c r="N1734" s="778"/>
      <c r="O1734" s="778"/>
      <c r="P1734" s="778"/>
      <c r="Q1734" s="778"/>
      <c r="R1734" s="778"/>
      <c r="S1734" s="778"/>
    </row>
    <row r="1735" spans="14:19" ht="27.95" customHeight="1">
      <c r="N1735" s="778"/>
      <c r="O1735" s="778"/>
      <c r="P1735" s="778"/>
      <c r="Q1735" s="778"/>
      <c r="R1735" s="778"/>
      <c r="S1735" s="778"/>
    </row>
    <row r="1736" spans="14:19" ht="27.95" customHeight="1">
      <c r="N1736" s="778"/>
      <c r="O1736" s="778"/>
      <c r="P1736" s="778"/>
      <c r="Q1736" s="778"/>
      <c r="R1736" s="778"/>
      <c r="S1736" s="778"/>
    </row>
    <row r="1737" spans="14:19" ht="27.95" customHeight="1">
      <c r="N1737" s="778"/>
      <c r="O1737" s="778"/>
      <c r="P1737" s="778"/>
      <c r="Q1737" s="778"/>
      <c r="R1737" s="778"/>
      <c r="S1737" s="778"/>
    </row>
    <row r="1738" spans="14:19" ht="27.95" customHeight="1">
      <c r="N1738" s="778"/>
      <c r="O1738" s="778"/>
      <c r="P1738" s="778"/>
      <c r="Q1738" s="778"/>
      <c r="R1738" s="778"/>
      <c r="S1738" s="778"/>
    </row>
    <row r="1739" spans="14:19" ht="27.95" customHeight="1">
      <c r="N1739" s="778"/>
      <c r="O1739" s="778"/>
      <c r="P1739" s="778"/>
      <c r="Q1739" s="778"/>
      <c r="R1739" s="778"/>
      <c r="S1739" s="778"/>
    </row>
    <row r="1740" spans="14:19" ht="27.95" customHeight="1">
      <c r="N1740" s="778"/>
      <c r="O1740" s="778"/>
      <c r="P1740" s="778"/>
      <c r="Q1740" s="778"/>
      <c r="R1740" s="778"/>
      <c r="S1740" s="778"/>
    </row>
    <row r="1741" spans="14:19" ht="27.95" customHeight="1">
      <c r="N1741" s="778"/>
      <c r="O1741" s="778"/>
      <c r="P1741" s="778"/>
      <c r="Q1741" s="778"/>
      <c r="R1741" s="778"/>
      <c r="S1741" s="778"/>
    </row>
    <row r="1742" spans="14:19" ht="27.95" customHeight="1">
      <c r="N1742" s="778"/>
      <c r="O1742" s="778"/>
      <c r="P1742" s="778"/>
      <c r="Q1742" s="778"/>
      <c r="R1742" s="778"/>
      <c r="S1742" s="778"/>
    </row>
    <row r="1743" spans="14:19" ht="27.95" customHeight="1">
      <c r="N1743" s="778"/>
      <c r="O1743" s="778"/>
      <c r="P1743" s="778"/>
      <c r="Q1743" s="778"/>
      <c r="R1743" s="778"/>
      <c r="S1743" s="778"/>
    </row>
    <row r="1744" spans="14:19" ht="27.95" customHeight="1">
      <c r="N1744" s="778"/>
      <c r="O1744" s="778"/>
      <c r="P1744" s="778"/>
      <c r="Q1744" s="778"/>
      <c r="R1744" s="778"/>
      <c r="S1744" s="778"/>
    </row>
    <row r="1745" spans="14:19" ht="27.95" customHeight="1">
      <c r="N1745" s="778"/>
      <c r="O1745" s="778"/>
      <c r="P1745" s="778"/>
      <c r="Q1745" s="778"/>
      <c r="R1745" s="778"/>
      <c r="S1745" s="778"/>
    </row>
    <row r="1746" spans="14:19" ht="27.95" customHeight="1">
      <c r="N1746" s="778"/>
      <c r="O1746" s="778"/>
      <c r="P1746" s="778"/>
      <c r="Q1746" s="778"/>
      <c r="R1746" s="778"/>
      <c r="S1746" s="778"/>
    </row>
    <row r="1747" spans="14:19" ht="27.95" customHeight="1">
      <c r="N1747" s="778"/>
      <c r="O1747" s="778"/>
      <c r="P1747" s="778"/>
      <c r="Q1747" s="778"/>
      <c r="R1747" s="778"/>
      <c r="S1747" s="778"/>
    </row>
    <row r="1748" spans="14:19" ht="27.95" customHeight="1">
      <c r="N1748" s="778"/>
      <c r="O1748" s="778"/>
      <c r="P1748" s="778"/>
      <c r="Q1748" s="778"/>
      <c r="R1748" s="778"/>
      <c r="S1748" s="778"/>
    </row>
    <row r="1749" spans="14:19" ht="27.95" customHeight="1">
      <c r="N1749" s="778"/>
      <c r="O1749" s="778"/>
      <c r="P1749" s="778"/>
      <c r="Q1749" s="778"/>
      <c r="R1749" s="778"/>
      <c r="S1749" s="778"/>
    </row>
    <row r="1750" spans="14:19" ht="27.95" customHeight="1">
      <c r="N1750" s="778"/>
      <c r="O1750" s="778"/>
      <c r="P1750" s="778"/>
      <c r="Q1750" s="778"/>
      <c r="R1750" s="778"/>
      <c r="S1750" s="778"/>
    </row>
    <row r="1751" spans="14:19" ht="27.95" customHeight="1">
      <c r="N1751" s="778"/>
      <c r="O1751" s="778"/>
      <c r="P1751" s="778"/>
      <c r="Q1751" s="778"/>
      <c r="R1751" s="778"/>
      <c r="S1751" s="778"/>
    </row>
    <row r="1752" spans="14:19" ht="27.95" customHeight="1">
      <c r="N1752" s="778"/>
      <c r="O1752" s="778"/>
      <c r="P1752" s="778"/>
      <c r="Q1752" s="778"/>
      <c r="R1752" s="778"/>
      <c r="S1752" s="778"/>
    </row>
    <row r="1753" spans="14:19" ht="27.95" customHeight="1">
      <c r="N1753" s="778"/>
      <c r="O1753" s="778"/>
      <c r="P1753" s="778"/>
      <c r="Q1753" s="778"/>
      <c r="R1753" s="778"/>
      <c r="S1753" s="778"/>
    </row>
    <row r="1754" spans="14:19" ht="27.95" customHeight="1">
      <c r="N1754" s="778"/>
      <c r="O1754" s="778"/>
      <c r="P1754" s="778"/>
      <c r="Q1754" s="778"/>
      <c r="R1754" s="778"/>
      <c r="S1754" s="778"/>
    </row>
    <row r="1755" spans="14:19" ht="27.95" customHeight="1">
      <c r="N1755" s="778"/>
      <c r="O1755" s="778"/>
      <c r="P1755" s="778"/>
      <c r="Q1755" s="778"/>
      <c r="R1755" s="778"/>
      <c r="S1755" s="778"/>
    </row>
    <row r="1756" spans="14:19" ht="27.95" customHeight="1">
      <c r="N1756" s="778"/>
      <c r="O1756" s="778"/>
      <c r="P1756" s="778"/>
      <c r="Q1756" s="778"/>
      <c r="R1756" s="778"/>
      <c r="S1756" s="778"/>
    </row>
    <row r="1757" spans="14:19" ht="27.95" customHeight="1">
      <c r="N1757" s="778"/>
      <c r="O1757" s="778"/>
      <c r="P1757" s="778"/>
      <c r="Q1757" s="778"/>
      <c r="R1757" s="778"/>
      <c r="S1757" s="778"/>
    </row>
    <row r="1758" spans="14:19" ht="27.95" customHeight="1">
      <c r="N1758" s="778"/>
      <c r="O1758" s="778"/>
      <c r="P1758" s="778"/>
      <c r="Q1758" s="778"/>
      <c r="R1758" s="778"/>
      <c r="S1758" s="778"/>
    </row>
    <row r="1759" spans="14:19" ht="27.95" customHeight="1">
      <c r="N1759" s="778"/>
      <c r="O1759" s="778"/>
      <c r="P1759" s="778"/>
      <c r="Q1759" s="778"/>
      <c r="R1759" s="778"/>
      <c r="S1759" s="778"/>
    </row>
    <row r="1760" spans="14:19" ht="27.95" customHeight="1">
      <c r="N1760" s="778"/>
      <c r="O1760" s="778"/>
      <c r="P1760" s="778"/>
      <c r="Q1760" s="778"/>
      <c r="R1760" s="778"/>
      <c r="S1760" s="778"/>
    </row>
    <row r="1761" spans="14:19" ht="27.95" customHeight="1">
      <c r="N1761" s="778"/>
      <c r="O1761" s="778"/>
      <c r="P1761" s="778"/>
      <c r="Q1761" s="778"/>
      <c r="R1761" s="778"/>
      <c r="S1761" s="778"/>
    </row>
    <row r="1762" spans="14:19" ht="27.95" customHeight="1">
      <c r="N1762" s="778"/>
      <c r="O1762" s="778"/>
      <c r="P1762" s="778"/>
      <c r="Q1762" s="778"/>
      <c r="R1762" s="778"/>
      <c r="S1762" s="778"/>
    </row>
    <row r="1763" spans="14:19" ht="27.95" customHeight="1">
      <c r="N1763" s="778"/>
      <c r="O1763" s="778"/>
      <c r="P1763" s="778"/>
      <c r="Q1763" s="778"/>
      <c r="R1763" s="778"/>
      <c r="S1763" s="778"/>
    </row>
    <row r="1764" spans="14:19" ht="27.95" customHeight="1">
      <c r="N1764" s="778"/>
      <c r="O1764" s="778"/>
      <c r="P1764" s="778"/>
      <c r="Q1764" s="778"/>
      <c r="R1764" s="778"/>
      <c r="S1764" s="778"/>
    </row>
    <row r="1765" spans="14:19" ht="27.95" customHeight="1">
      <c r="N1765" s="778"/>
      <c r="O1765" s="778"/>
      <c r="P1765" s="778"/>
      <c r="Q1765" s="778"/>
      <c r="R1765" s="778"/>
      <c r="S1765" s="778"/>
    </row>
    <row r="1766" spans="14:19" ht="27.95" customHeight="1">
      <c r="N1766" s="778"/>
      <c r="O1766" s="778"/>
      <c r="P1766" s="778"/>
      <c r="Q1766" s="778"/>
      <c r="R1766" s="778"/>
      <c r="S1766" s="778"/>
    </row>
    <row r="1767" spans="14:19" ht="27.95" customHeight="1">
      <c r="N1767" s="778"/>
      <c r="O1767" s="778"/>
      <c r="P1767" s="778"/>
      <c r="Q1767" s="778"/>
      <c r="R1767" s="778"/>
      <c r="S1767" s="778"/>
    </row>
    <row r="1768" spans="14:19" ht="27.95" customHeight="1">
      <c r="N1768" s="778"/>
      <c r="O1768" s="778"/>
      <c r="P1768" s="778"/>
      <c r="Q1768" s="778"/>
      <c r="R1768" s="778"/>
      <c r="S1768" s="778"/>
    </row>
    <row r="1769" spans="14:19" ht="27.95" customHeight="1">
      <c r="N1769" s="778"/>
      <c r="O1769" s="778"/>
      <c r="P1769" s="778"/>
      <c r="Q1769" s="778"/>
      <c r="R1769" s="778"/>
      <c r="S1769" s="778"/>
    </row>
    <row r="1770" spans="14:19" ht="27.95" customHeight="1">
      <c r="N1770" s="778"/>
      <c r="O1770" s="778"/>
      <c r="P1770" s="778"/>
      <c r="Q1770" s="778"/>
      <c r="R1770" s="778"/>
      <c r="S1770" s="778"/>
    </row>
    <row r="1771" spans="14:19" ht="27.95" customHeight="1">
      <c r="N1771" s="778"/>
      <c r="O1771" s="778"/>
      <c r="P1771" s="778"/>
      <c r="Q1771" s="778"/>
      <c r="R1771" s="778"/>
      <c r="S1771" s="778"/>
    </row>
    <row r="1772" spans="14:19" ht="27.95" customHeight="1">
      <c r="N1772" s="778"/>
      <c r="O1772" s="778"/>
      <c r="P1772" s="778"/>
      <c r="Q1772" s="778"/>
      <c r="R1772" s="778"/>
      <c r="S1772" s="778"/>
    </row>
    <row r="1773" spans="14:19" ht="27.95" customHeight="1">
      <c r="N1773" s="778"/>
      <c r="O1773" s="778"/>
      <c r="P1773" s="778"/>
      <c r="Q1773" s="778"/>
      <c r="R1773" s="778"/>
      <c r="S1773" s="778"/>
    </row>
    <row r="1774" spans="14:19" ht="27.95" customHeight="1">
      <c r="N1774" s="778"/>
      <c r="O1774" s="778"/>
      <c r="P1774" s="778"/>
      <c r="Q1774" s="778"/>
      <c r="R1774" s="778"/>
      <c r="S1774" s="778"/>
    </row>
    <row r="1775" spans="14:19" ht="27.95" customHeight="1">
      <c r="N1775" s="778"/>
      <c r="O1775" s="778"/>
      <c r="P1775" s="778"/>
      <c r="Q1775" s="778"/>
      <c r="R1775" s="778"/>
      <c r="S1775" s="778"/>
    </row>
    <row r="1776" spans="14:19" ht="27.95" customHeight="1">
      <c r="N1776" s="778"/>
      <c r="O1776" s="778"/>
      <c r="P1776" s="778"/>
      <c r="Q1776" s="778"/>
      <c r="R1776" s="778"/>
      <c r="S1776" s="778"/>
    </row>
    <row r="1777" spans="14:19" ht="27.95" customHeight="1">
      <c r="N1777" s="778"/>
      <c r="O1777" s="778"/>
      <c r="P1777" s="778"/>
      <c r="Q1777" s="778"/>
      <c r="R1777" s="778"/>
      <c r="S1777" s="778"/>
    </row>
    <row r="1778" spans="14:19" ht="27.95" customHeight="1">
      <c r="N1778" s="778"/>
      <c r="O1778" s="778"/>
      <c r="P1778" s="778"/>
      <c r="Q1778" s="778"/>
      <c r="R1778" s="778"/>
      <c r="S1778" s="778"/>
    </row>
    <row r="1779" spans="14:19" ht="27.95" customHeight="1">
      <c r="N1779" s="778"/>
      <c r="O1779" s="778"/>
      <c r="P1779" s="778"/>
      <c r="Q1779" s="778"/>
      <c r="R1779" s="778"/>
      <c r="S1779" s="778"/>
    </row>
    <row r="1780" spans="14:19" ht="27.95" customHeight="1">
      <c r="N1780" s="778"/>
      <c r="O1780" s="778"/>
      <c r="P1780" s="778"/>
      <c r="Q1780" s="778"/>
      <c r="R1780" s="778"/>
      <c r="S1780" s="778"/>
    </row>
    <row r="1781" spans="14:19" ht="27.95" customHeight="1">
      <c r="N1781" s="778"/>
      <c r="O1781" s="778"/>
      <c r="P1781" s="778"/>
      <c r="Q1781" s="778"/>
      <c r="R1781" s="778"/>
      <c r="S1781" s="778"/>
    </row>
    <row r="1782" spans="14:19" ht="27.95" customHeight="1">
      <c r="N1782" s="778"/>
      <c r="O1782" s="778"/>
      <c r="P1782" s="778"/>
      <c r="Q1782" s="778"/>
      <c r="R1782" s="778"/>
      <c r="S1782" s="778"/>
    </row>
    <row r="1783" spans="14:19" ht="27.95" customHeight="1">
      <c r="N1783" s="778"/>
      <c r="O1783" s="778"/>
      <c r="P1783" s="778"/>
      <c r="Q1783" s="778"/>
      <c r="R1783" s="778"/>
      <c r="S1783" s="778"/>
    </row>
    <row r="1784" spans="14:19" ht="27.95" customHeight="1">
      <c r="N1784" s="778"/>
      <c r="O1784" s="778"/>
      <c r="P1784" s="778"/>
      <c r="Q1784" s="778"/>
      <c r="R1784" s="778"/>
      <c r="S1784" s="778"/>
    </row>
    <row r="1785" spans="14:19" ht="27.95" customHeight="1">
      <c r="N1785" s="778"/>
      <c r="O1785" s="778"/>
      <c r="P1785" s="778"/>
      <c r="Q1785" s="778"/>
      <c r="R1785" s="778"/>
      <c r="S1785" s="778"/>
    </row>
    <row r="1786" spans="14:19" ht="27.95" customHeight="1">
      <c r="N1786" s="778"/>
      <c r="O1786" s="778"/>
      <c r="P1786" s="778"/>
      <c r="Q1786" s="778"/>
      <c r="R1786" s="778"/>
      <c r="S1786" s="778"/>
    </row>
    <row r="1787" spans="14:19" ht="27.95" customHeight="1">
      <c r="N1787" s="778"/>
      <c r="O1787" s="778"/>
      <c r="P1787" s="778"/>
      <c r="Q1787" s="778"/>
      <c r="R1787" s="778"/>
      <c r="S1787" s="778"/>
    </row>
    <row r="1788" spans="14:19" ht="27.95" customHeight="1">
      <c r="N1788" s="778"/>
      <c r="O1788" s="778"/>
      <c r="P1788" s="778"/>
      <c r="Q1788" s="778"/>
      <c r="R1788" s="778"/>
      <c r="S1788" s="778"/>
    </row>
    <row r="1789" spans="14:19" ht="27.95" customHeight="1">
      <c r="N1789" s="778"/>
      <c r="O1789" s="778"/>
      <c r="P1789" s="778"/>
      <c r="Q1789" s="778"/>
      <c r="R1789" s="778"/>
      <c r="S1789" s="778"/>
    </row>
    <row r="1790" spans="14:19" ht="27.95" customHeight="1">
      <c r="N1790" s="778"/>
      <c r="O1790" s="778"/>
      <c r="P1790" s="778"/>
      <c r="Q1790" s="778"/>
      <c r="R1790" s="778"/>
      <c r="S1790" s="778"/>
    </row>
    <row r="1791" spans="14:19" ht="27.95" customHeight="1">
      <c r="N1791" s="778"/>
      <c r="O1791" s="778"/>
      <c r="P1791" s="778"/>
      <c r="Q1791" s="778"/>
      <c r="R1791" s="778"/>
      <c r="S1791" s="778"/>
    </row>
    <row r="1792" spans="14:19" ht="27.95" customHeight="1">
      <c r="N1792" s="778"/>
      <c r="O1792" s="778"/>
      <c r="P1792" s="778"/>
      <c r="Q1792" s="778"/>
      <c r="R1792" s="778"/>
      <c r="S1792" s="778"/>
    </row>
    <row r="1793" spans="14:19" ht="27.95" customHeight="1">
      <c r="N1793" s="778"/>
      <c r="O1793" s="778"/>
      <c r="P1793" s="778"/>
      <c r="Q1793" s="778"/>
      <c r="R1793" s="778"/>
      <c r="S1793" s="778"/>
    </row>
    <row r="1794" spans="14:19" ht="27.95" customHeight="1">
      <c r="N1794" s="778"/>
      <c r="O1794" s="778"/>
      <c r="P1794" s="778"/>
      <c r="Q1794" s="778"/>
      <c r="R1794" s="778"/>
      <c r="S1794" s="778"/>
    </row>
    <row r="1795" spans="14:19" ht="27.95" customHeight="1">
      <c r="N1795" s="778"/>
      <c r="O1795" s="778"/>
      <c r="P1795" s="778"/>
      <c r="Q1795" s="778"/>
      <c r="R1795" s="778"/>
      <c r="S1795" s="778"/>
    </row>
    <row r="1796" spans="14:19" ht="27.95" customHeight="1">
      <c r="N1796" s="778"/>
      <c r="O1796" s="778"/>
      <c r="P1796" s="778"/>
      <c r="Q1796" s="778"/>
      <c r="R1796" s="778"/>
      <c r="S1796" s="778"/>
    </row>
    <row r="1797" spans="14:19" ht="27.95" customHeight="1">
      <c r="N1797" s="778"/>
      <c r="O1797" s="778"/>
      <c r="P1797" s="778"/>
      <c r="Q1797" s="778"/>
      <c r="R1797" s="778"/>
      <c r="S1797" s="778"/>
    </row>
    <row r="1798" spans="14:19" ht="27.95" customHeight="1">
      <c r="N1798" s="778"/>
      <c r="O1798" s="778"/>
      <c r="P1798" s="778"/>
      <c r="Q1798" s="778"/>
      <c r="R1798" s="778"/>
      <c r="S1798" s="778"/>
    </row>
    <row r="1799" spans="14:19" ht="27.95" customHeight="1">
      <c r="N1799" s="778"/>
      <c r="O1799" s="778"/>
      <c r="P1799" s="778"/>
      <c r="Q1799" s="778"/>
      <c r="R1799" s="778"/>
      <c r="S1799" s="778"/>
    </row>
    <row r="1800" spans="14:19" ht="27.95" customHeight="1">
      <c r="N1800" s="778"/>
      <c r="O1800" s="778"/>
      <c r="P1800" s="778"/>
      <c r="Q1800" s="778"/>
      <c r="R1800" s="778"/>
      <c r="S1800" s="778"/>
    </row>
    <row r="1801" spans="14:19" ht="27.95" customHeight="1">
      <c r="N1801" s="778"/>
      <c r="O1801" s="778"/>
      <c r="P1801" s="778"/>
      <c r="Q1801" s="778"/>
      <c r="R1801" s="778"/>
      <c r="S1801" s="778"/>
    </row>
    <row r="1802" spans="14:19" ht="27.95" customHeight="1">
      <c r="N1802" s="778"/>
      <c r="O1802" s="778"/>
      <c r="P1802" s="778"/>
      <c r="Q1802" s="778"/>
      <c r="R1802" s="778"/>
      <c r="S1802" s="778"/>
    </row>
    <row r="1803" spans="14:19" ht="27.95" customHeight="1">
      <c r="N1803" s="778"/>
      <c r="O1803" s="778"/>
      <c r="P1803" s="778"/>
      <c r="Q1803" s="778"/>
      <c r="R1803" s="778"/>
      <c r="S1803" s="778"/>
    </row>
    <row r="1804" spans="14:19" ht="27.95" customHeight="1">
      <c r="N1804" s="778"/>
      <c r="O1804" s="778"/>
      <c r="P1804" s="778"/>
      <c r="Q1804" s="778"/>
      <c r="R1804" s="778"/>
      <c r="S1804" s="778"/>
    </row>
    <row r="1805" spans="14:19" ht="27.95" customHeight="1">
      <c r="N1805" s="778"/>
      <c r="O1805" s="778"/>
      <c r="P1805" s="778"/>
      <c r="Q1805" s="778"/>
      <c r="R1805" s="778"/>
      <c r="S1805" s="778"/>
    </row>
    <row r="1806" spans="14:19" ht="27.95" customHeight="1">
      <c r="N1806" s="778"/>
      <c r="O1806" s="778"/>
      <c r="P1806" s="778"/>
      <c r="Q1806" s="778"/>
      <c r="R1806" s="778"/>
      <c r="S1806" s="778"/>
    </row>
    <row r="1807" spans="14:19" ht="27.95" customHeight="1">
      <c r="N1807" s="778"/>
      <c r="O1807" s="778"/>
      <c r="P1807" s="778"/>
      <c r="Q1807" s="778"/>
      <c r="R1807" s="778"/>
      <c r="S1807" s="778"/>
    </row>
    <row r="1808" spans="14:19" ht="27.95" customHeight="1">
      <c r="N1808" s="778"/>
      <c r="O1808" s="778"/>
      <c r="P1808" s="778"/>
      <c r="Q1808" s="778"/>
      <c r="R1808" s="778"/>
      <c r="S1808" s="778"/>
    </row>
    <row r="1809" spans="14:19" ht="27.95" customHeight="1">
      <c r="N1809" s="778"/>
      <c r="O1809" s="778"/>
      <c r="P1809" s="778"/>
      <c r="Q1809" s="778"/>
      <c r="R1809" s="778"/>
      <c r="S1809" s="778"/>
    </row>
    <row r="1810" spans="14:19" ht="27.95" customHeight="1">
      <c r="N1810" s="778"/>
      <c r="O1810" s="778"/>
      <c r="P1810" s="778"/>
      <c r="Q1810" s="778"/>
      <c r="R1810" s="778"/>
      <c r="S1810" s="778"/>
    </row>
    <row r="1811" spans="14:19" ht="27.95" customHeight="1">
      <c r="N1811" s="778"/>
      <c r="O1811" s="778"/>
      <c r="P1811" s="778"/>
      <c r="Q1811" s="778"/>
      <c r="R1811" s="778"/>
      <c r="S1811" s="778"/>
    </row>
    <row r="1812" spans="14:19" ht="27.95" customHeight="1">
      <c r="N1812" s="778"/>
      <c r="O1812" s="778"/>
      <c r="P1812" s="778"/>
      <c r="Q1812" s="778"/>
      <c r="R1812" s="778"/>
      <c r="S1812" s="778"/>
    </row>
    <row r="1813" spans="14:19" ht="27.95" customHeight="1">
      <c r="N1813" s="778"/>
      <c r="O1813" s="778"/>
      <c r="P1813" s="778"/>
      <c r="Q1813" s="778"/>
      <c r="R1813" s="778"/>
      <c r="S1813" s="778"/>
    </row>
    <row r="1814" spans="14:19" ht="27.95" customHeight="1">
      <c r="N1814" s="778"/>
      <c r="O1814" s="778"/>
      <c r="P1814" s="778"/>
      <c r="Q1814" s="778"/>
      <c r="R1814" s="778"/>
      <c r="S1814" s="778"/>
    </row>
    <row r="1815" spans="14:19" ht="27.95" customHeight="1">
      <c r="N1815" s="778"/>
      <c r="O1815" s="778"/>
      <c r="P1815" s="778"/>
      <c r="Q1815" s="778"/>
      <c r="R1815" s="778"/>
      <c r="S1815" s="778"/>
    </row>
    <row r="1816" spans="14:19" ht="27.95" customHeight="1">
      <c r="N1816" s="778"/>
      <c r="O1816" s="778"/>
      <c r="P1816" s="778"/>
      <c r="Q1816" s="778"/>
      <c r="R1816" s="778"/>
      <c r="S1816" s="778"/>
    </row>
    <row r="1817" spans="14:19" ht="27.95" customHeight="1">
      <c r="N1817" s="778"/>
      <c r="O1817" s="778"/>
      <c r="P1817" s="778"/>
      <c r="Q1817" s="778"/>
      <c r="R1817" s="778"/>
      <c r="S1817" s="778"/>
    </row>
    <row r="1818" spans="14:19" ht="27.95" customHeight="1">
      <c r="N1818" s="778"/>
      <c r="O1818" s="778"/>
      <c r="P1818" s="778"/>
      <c r="Q1818" s="778"/>
      <c r="R1818" s="778"/>
      <c r="S1818" s="778"/>
    </row>
    <row r="1819" spans="14:19" ht="27.95" customHeight="1">
      <c r="N1819" s="778"/>
      <c r="O1819" s="778"/>
      <c r="P1819" s="778"/>
      <c r="Q1819" s="778"/>
      <c r="R1819" s="778"/>
      <c r="S1819" s="778"/>
    </row>
    <row r="1820" spans="14:19" ht="27.95" customHeight="1">
      <c r="N1820" s="778"/>
      <c r="O1820" s="778"/>
      <c r="P1820" s="778"/>
      <c r="Q1820" s="778"/>
      <c r="R1820" s="778"/>
      <c r="S1820" s="778"/>
    </row>
    <row r="1821" spans="14:19" ht="27.95" customHeight="1">
      <c r="N1821" s="778"/>
      <c r="O1821" s="778"/>
      <c r="P1821" s="778"/>
      <c r="Q1821" s="778"/>
      <c r="R1821" s="778"/>
      <c r="S1821" s="778"/>
    </row>
    <row r="1822" spans="14:19" ht="27.95" customHeight="1">
      <c r="N1822" s="778"/>
      <c r="O1822" s="778"/>
      <c r="P1822" s="778"/>
      <c r="Q1822" s="778"/>
      <c r="R1822" s="778"/>
      <c r="S1822" s="778"/>
    </row>
    <row r="1823" spans="14:19" ht="27.95" customHeight="1">
      <c r="N1823" s="778"/>
      <c r="O1823" s="778"/>
      <c r="P1823" s="778"/>
      <c r="Q1823" s="778"/>
      <c r="R1823" s="778"/>
      <c r="S1823" s="778"/>
    </row>
    <row r="1824" spans="14:19" ht="27.95" customHeight="1">
      <c r="N1824" s="778"/>
      <c r="O1824" s="778"/>
      <c r="P1824" s="778"/>
      <c r="Q1824" s="778"/>
      <c r="R1824" s="778"/>
      <c r="S1824" s="778"/>
    </row>
    <row r="1825" spans="14:19" ht="27.95" customHeight="1">
      <c r="N1825" s="778"/>
      <c r="O1825" s="778"/>
      <c r="P1825" s="778"/>
      <c r="Q1825" s="778"/>
      <c r="R1825" s="778"/>
      <c r="S1825" s="778"/>
    </row>
    <row r="1826" spans="14:19" ht="27.95" customHeight="1">
      <c r="N1826" s="778"/>
      <c r="O1826" s="778"/>
      <c r="P1826" s="778"/>
      <c r="Q1826" s="778"/>
      <c r="R1826" s="778"/>
      <c r="S1826" s="778"/>
    </row>
    <row r="1827" spans="14:19" ht="27.95" customHeight="1">
      <c r="N1827" s="778"/>
      <c r="O1827" s="778"/>
      <c r="P1827" s="778"/>
      <c r="Q1827" s="778"/>
      <c r="R1827" s="778"/>
      <c r="S1827" s="778"/>
    </row>
    <row r="1828" spans="14:19" ht="27.95" customHeight="1">
      <c r="N1828" s="778"/>
      <c r="O1828" s="778"/>
      <c r="P1828" s="778"/>
      <c r="Q1828" s="778"/>
      <c r="R1828" s="778"/>
      <c r="S1828" s="778"/>
    </row>
    <row r="1829" spans="14:19" ht="27.95" customHeight="1">
      <c r="N1829" s="778"/>
      <c r="O1829" s="778"/>
      <c r="P1829" s="778"/>
      <c r="Q1829" s="778"/>
      <c r="R1829" s="778"/>
      <c r="S1829" s="778"/>
    </row>
    <row r="1830" spans="14:19" ht="27.95" customHeight="1">
      <c r="N1830" s="778"/>
      <c r="O1830" s="778"/>
      <c r="P1830" s="778"/>
      <c r="Q1830" s="778"/>
      <c r="R1830" s="778"/>
      <c r="S1830" s="778"/>
    </row>
    <row r="1831" spans="14:19" ht="27.95" customHeight="1">
      <c r="N1831" s="778"/>
      <c r="O1831" s="778"/>
      <c r="P1831" s="778"/>
      <c r="Q1831" s="778"/>
      <c r="R1831" s="778"/>
      <c r="S1831" s="778"/>
    </row>
    <row r="1832" spans="14:19" ht="27.95" customHeight="1">
      <c r="N1832" s="778"/>
      <c r="O1832" s="778"/>
      <c r="P1832" s="778"/>
      <c r="Q1832" s="778"/>
      <c r="R1832" s="778"/>
      <c r="S1832" s="778"/>
    </row>
    <row r="1833" spans="14:19" ht="27.95" customHeight="1">
      <c r="N1833" s="778"/>
      <c r="O1833" s="778"/>
      <c r="P1833" s="778"/>
      <c r="Q1833" s="778"/>
      <c r="R1833" s="778"/>
      <c r="S1833" s="778"/>
    </row>
    <row r="1834" spans="14:19" ht="27.95" customHeight="1">
      <c r="N1834" s="778"/>
      <c r="O1834" s="778"/>
      <c r="P1834" s="778"/>
      <c r="Q1834" s="778"/>
      <c r="R1834" s="778"/>
      <c r="S1834" s="778"/>
    </row>
    <row r="1835" spans="14:19" ht="27.95" customHeight="1">
      <c r="N1835" s="778"/>
      <c r="O1835" s="778"/>
      <c r="P1835" s="778"/>
      <c r="Q1835" s="778"/>
      <c r="R1835" s="778"/>
      <c r="S1835" s="778"/>
    </row>
    <row r="1836" spans="14:19" ht="27.95" customHeight="1">
      <c r="N1836" s="778"/>
      <c r="O1836" s="778"/>
      <c r="P1836" s="778"/>
      <c r="Q1836" s="778"/>
      <c r="R1836" s="778"/>
      <c r="S1836" s="778"/>
    </row>
    <row r="1837" spans="14:19" ht="27.95" customHeight="1">
      <c r="N1837" s="778"/>
      <c r="O1837" s="778"/>
      <c r="P1837" s="778"/>
      <c r="Q1837" s="778"/>
      <c r="R1837" s="778"/>
      <c r="S1837" s="778"/>
    </row>
    <row r="1838" spans="14:19" ht="27.95" customHeight="1">
      <c r="N1838" s="778"/>
      <c r="O1838" s="778"/>
      <c r="P1838" s="778"/>
      <c r="Q1838" s="778"/>
      <c r="R1838" s="778"/>
      <c r="S1838" s="778"/>
    </row>
    <row r="1839" spans="14:19" ht="27.95" customHeight="1">
      <c r="N1839" s="778"/>
      <c r="O1839" s="778"/>
      <c r="P1839" s="778"/>
      <c r="Q1839" s="778"/>
      <c r="R1839" s="778"/>
      <c r="S1839" s="778"/>
    </row>
    <row r="1840" spans="14:19" ht="27.95" customHeight="1">
      <c r="N1840" s="778"/>
      <c r="O1840" s="778"/>
      <c r="P1840" s="778"/>
      <c r="Q1840" s="778"/>
      <c r="R1840" s="778"/>
      <c r="S1840" s="778"/>
    </row>
    <row r="1841" spans="14:19" ht="27.95" customHeight="1">
      <c r="N1841" s="778"/>
      <c r="O1841" s="778"/>
      <c r="P1841" s="778"/>
      <c r="Q1841" s="778"/>
      <c r="R1841" s="778"/>
      <c r="S1841" s="778"/>
    </row>
    <row r="1842" spans="14:19" ht="27.95" customHeight="1">
      <c r="N1842" s="778"/>
      <c r="O1842" s="778"/>
      <c r="P1842" s="778"/>
      <c r="Q1842" s="778"/>
      <c r="R1842" s="778"/>
      <c r="S1842" s="778"/>
    </row>
    <row r="1843" spans="14:19" ht="27.95" customHeight="1">
      <c r="N1843" s="778"/>
      <c r="O1843" s="778"/>
      <c r="P1843" s="778"/>
      <c r="Q1843" s="778"/>
      <c r="R1843" s="778"/>
      <c r="S1843" s="778"/>
    </row>
    <row r="1844" spans="14:19" ht="27.95" customHeight="1">
      <c r="N1844" s="778"/>
      <c r="O1844" s="778"/>
      <c r="P1844" s="778"/>
      <c r="Q1844" s="778"/>
      <c r="R1844" s="778"/>
      <c r="S1844" s="778"/>
    </row>
    <row r="1845" spans="14:19" ht="27.95" customHeight="1">
      <c r="N1845" s="778"/>
      <c r="O1845" s="778"/>
      <c r="P1845" s="778"/>
      <c r="Q1845" s="778"/>
      <c r="R1845" s="778"/>
      <c r="S1845" s="778"/>
    </row>
    <row r="1846" spans="14:19" ht="27.95" customHeight="1">
      <c r="N1846" s="778"/>
      <c r="O1846" s="778"/>
      <c r="P1846" s="778"/>
      <c r="Q1846" s="778"/>
      <c r="R1846" s="778"/>
      <c r="S1846" s="778"/>
    </row>
    <row r="1847" spans="14:19" ht="27.95" customHeight="1">
      <c r="N1847" s="778"/>
      <c r="O1847" s="778"/>
      <c r="P1847" s="778"/>
      <c r="Q1847" s="778"/>
      <c r="R1847" s="778"/>
      <c r="S1847" s="778"/>
    </row>
    <row r="1848" spans="14:19" ht="27.95" customHeight="1">
      <c r="N1848" s="778"/>
      <c r="O1848" s="778"/>
      <c r="P1848" s="778"/>
      <c r="Q1848" s="778"/>
      <c r="R1848" s="778"/>
      <c r="S1848" s="778"/>
    </row>
    <row r="1849" spans="14:19" ht="27.95" customHeight="1">
      <c r="N1849" s="778"/>
      <c r="O1849" s="778"/>
      <c r="P1849" s="778"/>
      <c r="Q1849" s="778"/>
      <c r="R1849" s="778"/>
      <c r="S1849" s="778"/>
    </row>
    <row r="1850" spans="14:19" ht="27.95" customHeight="1">
      <c r="N1850" s="778"/>
      <c r="O1850" s="778"/>
      <c r="P1850" s="778"/>
      <c r="Q1850" s="778"/>
      <c r="R1850" s="778"/>
      <c r="S1850" s="778"/>
    </row>
    <row r="1851" spans="14:19" ht="27.95" customHeight="1">
      <c r="N1851" s="778"/>
      <c r="O1851" s="778"/>
      <c r="P1851" s="778"/>
      <c r="Q1851" s="778"/>
      <c r="R1851" s="778"/>
      <c r="S1851" s="778"/>
    </row>
    <row r="1852" spans="14:19" ht="27.95" customHeight="1">
      <c r="N1852" s="778"/>
      <c r="O1852" s="778"/>
      <c r="P1852" s="778"/>
      <c r="Q1852" s="778"/>
      <c r="R1852" s="778"/>
      <c r="S1852" s="778"/>
    </row>
    <row r="1853" spans="14:19" ht="27.95" customHeight="1">
      <c r="N1853" s="778"/>
      <c r="O1853" s="778"/>
      <c r="P1853" s="778"/>
      <c r="Q1853" s="778"/>
      <c r="R1853" s="778"/>
      <c r="S1853" s="778"/>
    </row>
    <row r="1854" spans="14:19" ht="27.95" customHeight="1">
      <c r="N1854" s="778"/>
      <c r="O1854" s="778"/>
      <c r="P1854" s="778"/>
      <c r="Q1854" s="778"/>
      <c r="R1854" s="778"/>
      <c r="S1854" s="778"/>
    </row>
    <row r="1855" spans="14:19" ht="27.95" customHeight="1">
      <c r="N1855" s="778"/>
      <c r="O1855" s="778"/>
      <c r="P1855" s="778"/>
      <c r="Q1855" s="778"/>
      <c r="R1855" s="778"/>
      <c r="S1855" s="778"/>
    </row>
    <row r="1856" spans="14:19" ht="27.95" customHeight="1">
      <c r="N1856" s="778"/>
      <c r="O1856" s="778"/>
      <c r="P1856" s="778"/>
      <c r="Q1856" s="778"/>
      <c r="R1856" s="778"/>
      <c r="S1856" s="778"/>
    </row>
    <row r="1857" spans="14:19" ht="27.95" customHeight="1">
      <c r="N1857" s="778"/>
      <c r="O1857" s="778"/>
      <c r="P1857" s="778"/>
      <c r="Q1857" s="778"/>
      <c r="R1857" s="778"/>
      <c r="S1857" s="778"/>
    </row>
    <row r="1858" spans="14:19" ht="27.95" customHeight="1">
      <c r="N1858" s="778"/>
      <c r="O1858" s="778"/>
      <c r="P1858" s="778"/>
      <c r="Q1858" s="778"/>
      <c r="R1858" s="778"/>
      <c r="S1858" s="778"/>
    </row>
    <row r="1859" spans="14:19" ht="27.95" customHeight="1">
      <c r="N1859" s="778"/>
      <c r="O1859" s="778"/>
      <c r="P1859" s="778"/>
      <c r="Q1859" s="778"/>
      <c r="R1859" s="778"/>
      <c r="S1859" s="778"/>
    </row>
    <row r="1860" spans="14:19" ht="27.95" customHeight="1">
      <c r="N1860" s="778"/>
      <c r="O1860" s="778"/>
      <c r="P1860" s="778"/>
      <c r="Q1860" s="778"/>
      <c r="R1860" s="778"/>
      <c r="S1860" s="778"/>
    </row>
    <row r="1861" spans="14:19" ht="27.95" customHeight="1">
      <c r="N1861" s="778"/>
      <c r="O1861" s="778"/>
      <c r="P1861" s="778"/>
      <c r="Q1861" s="778"/>
      <c r="R1861" s="778"/>
      <c r="S1861" s="778"/>
    </row>
    <row r="1862" spans="14:19" ht="27.95" customHeight="1">
      <c r="N1862" s="778"/>
      <c r="O1862" s="778"/>
      <c r="P1862" s="778"/>
      <c r="Q1862" s="778"/>
      <c r="R1862" s="778"/>
      <c r="S1862" s="778"/>
    </row>
    <row r="1863" spans="14:19" ht="27.95" customHeight="1">
      <c r="N1863" s="778"/>
      <c r="O1863" s="778"/>
      <c r="P1863" s="778"/>
      <c r="Q1863" s="778"/>
      <c r="R1863" s="778"/>
      <c r="S1863" s="778"/>
    </row>
    <row r="1864" spans="14:19" ht="27.95" customHeight="1">
      <c r="N1864" s="778"/>
      <c r="O1864" s="778"/>
      <c r="P1864" s="778"/>
      <c r="Q1864" s="778"/>
      <c r="R1864" s="778"/>
      <c r="S1864" s="778"/>
    </row>
    <row r="1865" spans="14:19" ht="27.95" customHeight="1">
      <c r="N1865" s="778"/>
      <c r="O1865" s="778"/>
      <c r="P1865" s="778"/>
      <c r="Q1865" s="778"/>
      <c r="R1865" s="778"/>
      <c r="S1865" s="778"/>
    </row>
    <row r="1866" spans="14:19" ht="27.95" customHeight="1">
      <c r="N1866" s="778"/>
      <c r="O1866" s="778"/>
      <c r="P1866" s="778"/>
      <c r="Q1866" s="778"/>
      <c r="R1866" s="778"/>
      <c r="S1866" s="778"/>
    </row>
    <row r="1867" spans="14:19" ht="27.95" customHeight="1">
      <c r="N1867" s="778"/>
      <c r="O1867" s="778"/>
      <c r="P1867" s="778"/>
      <c r="Q1867" s="778"/>
      <c r="R1867" s="778"/>
      <c r="S1867" s="778"/>
    </row>
    <row r="1868" spans="14:19" ht="27.95" customHeight="1">
      <c r="N1868" s="778"/>
      <c r="O1868" s="778"/>
      <c r="P1868" s="778"/>
      <c r="Q1868" s="778"/>
      <c r="R1868" s="778"/>
      <c r="S1868" s="778"/>
    </row>
    <row r="1869" spans="14:19" ht="27.95" customHeight="1">
      <c r="N1869" s="778"/>
      <c r="O1869" s="778"/>
      <c r="P1869" s="778"/>
      <c r="Q1869" s="778"/>
      <c r="R1869" s="778"/>
      <c r="S1869" s="778"/>
    </row>
    <row r="1870" spans="14:19" ht="27.95" customHeight="1">
      <c r="N1870" s="778"/>
      <c r="O1870" s="778"/>
      <c r="P1870" s="778"/>
      <c r="Q1870" s="778"/>
      <c r="R1870" s="778"/>
      <c r="S1870" s="778"/>
    </row>
    <row r="1871" spans="14:19" ht="27.95" customHeight="1">
      <c r="N1871" s="778"/>
      <c r="O1871" s="778"/>
      <c r="P1871" s="778"/>
      <c r="Q1871" s="778"/>
      <c r="R1871" s="778"/>
      <c r="S1871" s="778"/>
    </row>
    <row r="1872" spans="14:19" ht="27.95" customHeight="1">
      <c r="N1872" s="778"/>
      <c r="O1872" s="778"/>
      <c r="P1872" s="778"/>
      <c r="Q1872" s="778"/>
      <c r="R1872" s="778"/>
      <c r="S1872" s="778"/>
    </row>
    <row r="1873" spans="14:19" ht="27.95" customHeight="1">
      <c r="N1873" s="778"/>
      <c r="O1873" s="778"/>
      <c r="P1873" s="778"/>
      <c r="Q1873" s="778"/>
      <c r="R1873" s="778"/>
      <c r="S1873" s="778"/>
    </row>
    <row r="1874" spans="14:19" ht="27.95" customHeight="1">
      <c r="N1874" s="778"/>
      <c r="O1874" s="778"/>
      <c r="P1874" s="778"/>
      <c r="Q1874" s="778"/>
      <c r="R1874" s="778"/>
      <c r="S1874" s="778"/>
    </row>
    <row r="1875" spans="14:19" ht="27.95" customHeight="1">
      <c r="N1875" s="778"/>
      <c r="O1875" s="778"/>
      <c r="P1875" s="778"/>
      <c r="Q1875" s="778"/>
      <c r="R1875" s="778"/>
      <c r="S1875" s="778"/>
    </row>
    <row r="1876" spans="14:19" ht="27.95" customHeight="1">
      <c r="N1876" s="778"/>
      <c r="O1876" s="778"/>
      <c r="P1876" s="778"/>
      <c r="Q1876" s="778"/>
      <c r="R1876" s="778"/>
      <c r="S1876" s="778"/>
    </row>
    <row r="1877" spans="14:19" ht="27.95" customHeight="1">
      <c r="N1877" s="778"/>
      <c r="O1877" s="778"/>
      <c r="P1877" s="778"/>
      <c r="Q1877" s="778"/>
      <c r="R1877" s="778"/>
      <c r="S1877" s="778"/>
    </row>
    <row r="1878" spans="14:19" ht="27.95" customHeight="1">
      <c r="N1878" s="778"/>
      <c r="O1878" s="778"/>
      <c r="P1878" s="778"/>
      <c r="Q1878" s="778"/>
      <c r="R1878" s="778"/>
      <c r="S1878" s="778"/>
    </row>
    <row r="1879" spans="14:19" ht="27.95" customHeight="1">
      <c r="N1879" s="778"/>
      <c r="O1879" s="778"/>
      <c r="P1879" s="778"/>
      <c r="Q1879" s="778"/>
      <c r="R1879" s="778"/>
      <c r="S1879" s="778"/>
    </row>
    <row r="1880" spans="14:19" ht="27.95" customHeight="1">
      <c r="N1880" s="778"/>
      <c r="O1880" s="778"/>
      <c r="P1880" s="778"/>
      <c r="Q1880" s="778"/>
      <c r="R1880" s="778"/>
      <c r="S1880" s="778"/>
    </row>
    <row r="1881" spans="14:19" ht="27.95" customHeight="1">
      <c r="N1881" s="778"/>
      <c r="O1881" s="778"/>
      <c r="P1881" s="778"/>
      <c r="Q1881" s="778"/>
      <c r="R1881" s="778"/>
      <c r="S1881" s="778"/>
    </row>
    <row r="1882" spans="14:19" ht="27.95" customHeight="1">
      <c r="N1882" s="778"/>
      <c r="O1882" s="778"/>
      <c r="P1882" s="778"/>
      <c r="Q1882" s="778"/>
      <c r="R1882" s="778"/>
      <c r="S1882" s="778"/>
    </row>
    <row r="1883" spans="14:19" ht="27.95" customHeight="1">
      <c r="N1883" s="778"/>
      <c r="O1883" s="778"/>
      <c r="P1883" s="778"/>
      <c r="Q1883" s="778"/>
      <c r="R1883" s="778"/>
      <c r="S1883" s="778"/>
    </row>
    <row r="1884" spans="14:19" ht="27.95" customHeight="1">
      <c r="N1884" s="778"/>
      <c r="O1884" s="778"/>
      <c r="P1884" s="778"/>
      <c r="Q1884" s="778"/>
      <c r="R1884" s="778"/>
      <c r="S1884" s="778"/>
    </row>
    <row r="1885" spans="14:19" ht="27.95" customHeight="1">
      <c r="N1885" s="778"/>
      <c r="O1885" s="778"/>
      <c r="P1885" s="778"/>
      <c r="Q1885" s="778"/>
      <c r="R1885" s="778"/>
      <c r="S1885" s="778"/>
    </row>
    <row r="1886" spans="14:19" ht="27.95" customHeight="1">
      <c r="N1886" s="778"/>
      <c r="O1886" s="778"/>
      <c r="P1886" s="778"/>
      <c r="Q1886" s="778"/>
      <c r="R1886" s="778"/>
      <c r="S1886" s="778"/>
    </row>
    <row r="1887" spans="14:19" ht="27.95" customHeight="1">
      <c r="N1887" s="778"/>
      <c r="O1887" s="778"/>
      <c r="P1887" s="778"/>
      <c r="Q1887" s="778"/>
      <c r="R1887" s="778"/>
      <c r="S1887" s="778"/>
    </row>
    <row r="1888" spans="14:19" ht="27.95" customHeight="1">
      <c r="N1888" s="778"/>
      <c r="O1888" s="778"/>
      <c r="P1888" s="778"/>
      <c r="Q1888" s="778"/>
      <c r="R1888" s="778"/>
      <c r="S1888" s="778"/>
    </row>
    <row r="1889" spans="14:19" ht="27.95" customHeight="1">
      <c r="N1889" s="778"/>
      <c r="O1889" s="778"/>
      <c r="P1889" s="778"/>
      <c r="Q1889" s="778"/>
      <c r="R1889" s="778"/>
      <c r="S1889" s="778"/>
    </row>
    <row r="1890" spans="14:19" ht="27.95" customHeight="1">
      <c r="N1890" s="778"/>
      <c r="O1890" s="778"/>
      <c r="P1890" s="778"/>
      <c r="Q1890" s="778"/>
      <c r="R1890" s="778"/>
      <c r="S1890" s="778"/>
    </row>
    <row r="1891" spans="14:19" ht="27.95" customHeight="1">
      <c r="N1891" s="778"/>
      <c r="O1891" s="778"/>
      <c r="P1891" s="778"/>
      <c r="Q1891" s="778"/>
      <c r="R1891" s="778"/>
      <c r="S1891" s="778"/>
    </row>
    <row r="1892" spans="14:19" ht="27.95" customHeight="1">
      <c r="N1892" s="778"/>
      <c r="O1892" s="778"/>
      <c r="P1892" s="778"/>
      <c r="Q1892" s="778"/>
      <c r="R1892" s="778"/>
      <c r="S1892" s="778"/>
    </row>
    <row r="1893" spans="14:19" ht="27.95" customHeight="1">
      <c r="N1893" s="778"/>
      <c r="O1893" s="778"/>
      <c r="P1893" s="778"/>
      <c r="Q1893" s="778"/>
      <c r="R1893" s="778"/>
      <c r="S1893" s="778"/>
    </row>
    <row r="1894" spans="14:19" ht="27.95" customHeight="1">
      <c r="N1894" s="778"/>
      <c r="O1894" s="778"/>
      <c r="P1894" s="778"/>
      <c r="Q1894" s="778"/>
      <c r="R1894" s="778"/>
      <c r="S1894" s="778"/>
    </row>
    <row r="1895" spans="14:19" ht="27.95" customHeight="1">
      <c r="N1895" s="778"/>
      <c r="O1895" s="778"/>
      <c r="P1895" s="778"/>
      <c r="Q1895" s="778"/>
      <c r="R1895" s="778"/>
      <c r="S1895" s="778"/>
    </row>
    <row r="1896" spans="14:19" ht="27.95" customHeight="1">
      <c r="N1896" s="778"/>
      <c r="O1896" s="778"/>
      <c r="P1896" s="778"/>
      <c r="Q1896" s="778"/>
      <c r="R1896" s="778"/>
      <c r="S1896" s="778"/>
    </row>
    <row r="1897" spans="14:19" ht="27.95" customHeight="1">
      <c r="N1897" s="778"/>
      <c r="O1897" s="778"/>
      <c r="P1897" s="778"/>
      <c r="Q1897" s="778"/>
      <c r="R1897" s="778"/>
      <c r="S1897" s="778"/>
    </row>
    <row r="1898" spans="14:19" ht="27.95" customHeight="1">
      <c r="N1898" s="778"/>
      <c r="O1898" s="778"/>
      <c r="P1898" s="778"/>
      <c r="Q1898" s="778"/>
      <c r="R1898" s="778"/>
      <c r="S1898" s="778"/>
    </row>
    <row r="1899" spans="14:19" ht="27.95" customHeight="1">
      <c r="N1899" s="778"/>
      <c r="O1899" s="778"/>
      <c r="P1899" s="778"/>
      <c r="Q1899" s="778"/>
      <c r="R1899" s="778"/>
      <c r="S1899" s="778"/>
    </row>
    <row r="1900" spans="14:19" ht="27.95" customHeight="1">
      <c r="N1900" s="778"/>
      <c r="O1900" s="778"/>
      <c r="P1900" s="778"/>
      <c r="Q1900" s="778"/>
      <c r="R1900" s="778"/>
      <c r="S1900" s="778"/>
    </row>
    <row r="1901" spans="14:19" ht="27.95" customHeight="1">
      <c r="N1901" s="778"/>
      <c r="O1901" s="778"/>
      <c r="P1901" s="778"/>
      <c r="Q1901" s="778"/>
      <c r="R1901" s="778"/>
      <c r="S1901" s="778"/>
    </row>
    <row r="1902" spans="14:19" ht="27.95" customHeight="1">
      <c r="N1902" s="778"/>
      <c r="O1902" s="778"/>
      <c r="P1902" s="778"/>
      <c r="Q1902" s="778"/>
      <c r="R1902" s="778"/>
      <c r="S1902" s="778"/>
    </row>
    <row r="1903" spans="14:19" ht="27.95" customHeight="1">
      <c r="N1903" s="778"/>
      <c r="O1903" s="778"/>
      <c r="P1903" s="778"/>
      <c r="Q1903" s="778"/>
      <c r="R1903" s="778"/>
      <c r="S1903" s="778"/>
    </row>
    <row r="1904" spans="14:19" ht="27.95" customHeight="1">
      <c r="N1904" s="778"/>
      <c r="O1904" s="778"/>
      <c r="P1904" s="778"/>
      <c r="Q1904" s="778"/>
      <c r="R1904" s="778"/>
      <c r="S1904" s="778"/>
    </row>
    <row r="1905" spans="14:19" ht="27.95" customHeight="1">
      <c r="N1905" s="778"/>
      <c r="O1905" s="778"/>
      <c r="P1905" s="778"/>
      <c r="Q1905" s="778"/>
      <c r="R1905" s="778"/>
      <c r="S1905" s="778"/>
    </row>
    <row r="1906" spans="14:19" ht="27.95" customHeight="1">
      <c r="N1906" s="778"/>
      <c r="O1906" s="778"/>
      <c r="P1906" s="778"/>
      <c r="Q1906" s="778"/>
      <c r="R1906" s="778"/>
      <c r="S1906" s="778"/>
    </row>
    <row r="1907" spans="14:19" ht="27.95" customHeight="1">
      <c r="N1907" s="778"/>
      <c r="O1907" s="778"/>
      <c r="P1907" s="778"/>
      <c r="Q1907" s="778"/>
      <c r="R1907" s="778"/>
      <c r="S1907" s="778"/>
    </row>
    <row r="1908" spans="14:19" ht="27.95" customHeight="1">
      <c r="N1908" s="778"/>
      <c r="O1908" s="778"/>
      <c r="P1908" s="778"/>
      <c r="Q1908" s="778"/>
      <c r="R1908" s="778"/>
      <c r="S1908" s="778"/>
    </row>
    <row r="1909" spans="14:19" ht="27.95" customHeight="1">
      <c r="N1909" s="778"/>
      <c r="O1909" s="778"/>
      <c r="P1909" s="778"/>
      <c r="Q1909" s="778"/>
      <c r="R1909" s="778"/>
      <c r="S1909" s="778"/>
    </row>
    <row r="1910" spans="14:19" ht="27.95" customHeight="1">
      <c r="N1910" s="778"/>
      <c r="O1910" s="778"/>
      <c r="P1910" s="778"/>
      <c r="Q1910" s="778"/>
      <c r="R1910" s="778"/>
      <c r="S1910" s="778"/>
    </row>
    <row r="1911" spans="14:19" ht="27.95" customHeight="1">
      <c r="N1911" s="778"/>
      <c r="O1911" s="778"/>
      <c r="P1911" s="778"/>
      <c r="Q1911" s="778"/>
      <c r="R1911" s="778"/>
      <c r="S1911" s="778"/>
    </row>
    <row r="1912" spans="14:19" ht="27.95" customHeight="1">
      <c r="N1912" s="778"/>
      <c r="O1912" s="778"/>
      <c r="P1912" s="778"/>
      <c r="Q1912" s="778"/>
      <c r="R1912" s="778"/>
      <c r="S1912" s="778"/>
    </row>
    <row r="1913" spans="14:19" ht="27.95" customHeight="1">
      <c r="N1913" s="778"/>
      <c r="O1913" s="778"/>
      <c r="P1913" s="778"/>
      <c r="Q1913" s="778"/>
      <c r="R1913" s="778"/>
      <c r="S1913" s="778"/>
    </row>
    <row r="1914" spans="14:19" ht="27.95" customHeight="1">
      <c r="N1914" s="778"/>
      <c r="O1914" s="778"/>
      <c r="P1914" s="778"/>
      <c r="Q1914" s="778"/>
      <c r="R1914" s="778"/>
      <c r="S1914" s="778"/>
    </row>
    <row r="1915" spans="14:19" ht="27.95" customHeight="1">
      <c r="N1915" s="778"/>
      <c r="O1915" s="778"/>
      <c r="P1915" s="778"/>
      <c r="Q1915" s="778"/>
      <c r="R1915" s="778"/>
      <c r="S1915" s="778"/>
    </row>
    <row r="1916" spans="14:19" ht="27.95" customHeight="1">
      <c r="N1916" s="778"/>
      <c r="O1916" s="778"/>
      <c r="P1916" s="778"/>
      <c r="Q1916" s="778"/>
      <c r="R1916" s="778"/>
      <c r="S1916" s="778"/>
    </row>
    <row r="1917" spans="14:19" ht="27.95" customHeight="1">
      <c r="N1917" s="778"/>
      <c r="O1917" s="778"/>
      <c r="P1917" s="778"/>
      <c r="Q1917" s="778"/>
      <c r="R1917" s="778"/>
      <c r="S1917" s="778"/>
    </row>
    <row r="1918" spans="14:19" ht="27.95" customHeight="1">
      <c r="N1918" s="778"/>
      <c r="O1918" s="778"/>
      <c r="P1918" s="778"/>
      <c r="Q1918" s="778"/>
      <c r="R1918" s="778"/>
      <c r="S1918" s="778"/>
    </row>
    <row r="1919" spans="14:19" ht="27.95" customHeight="1">
      <c r="N1919" s="778"/>
      <c r="O1919" s="778"/>
      <c r="P1919" s="778"/>
      <c r="Q1919" s="778"/>
      <c r="R1919" s="778"/>
      <c r="S1919" s="778"/>
    </row>
    <row r="1920" spans="14:19" ht="27.95" customHeight="1">
      <c r="N1920" s="778"/>
      <c r="O1920" s="778"/>
      <c r="P1920" s="778"/>
      <c r="Q1920" s="778"/>
      <c r="R1920" s="778"/>
      <c r="S1920" s="778"/>
    </row>
    <row r="1921" spans="14:19" ht="27.95" customHeight="1">
      <c r="N1921" s="778"/>
      <c r="O1921" s="778"/>
      <c r="P1921" s="778"/>
      <c r="Q1921" s="778"/>
      <c r="R1921" s="778"/>
      <c r="S1921" s="778"/>
    </row>
    <row r="1922" spans="14:19" ht="27.95" customHeight="1">
      <c r="N1922" s="778"/>
      <c r="O1922" s="778"/>
      <c r="P1922" s="778"/>
      <c r="Q1922" s="778"/>
      <c r="R1922" s="778"/>
      <c r="S1922" s="778"/>
    </row>
    <row r="1923" spans="14:19" ht="27.95" customHeight="1">
      <c r="N1923" s="778"/>
      <c r="O1923" s="778"/>
      <c r="P1923" s="778"/>
      <c r="Q1923" s="778"/>
      <c r="R1923" s="778"/>
      <c r="S1923" s="778"/>
    </row>
    <row r="1924" spans="14:19" ht="27.95" customHeight="1">
      <c r="N1924" s="778"/>
      <c r="O1924" s="778"/>
      <c r="P1924" s="778"/>
      <c r="Q1924" s="778"/>
      <c r="R1924" s="778"/>
      <c r="S1924" s="778"/>
    </row>
    <row r="1925" spans="14:19" ht="27.95" customHeight="1">
      <c r="N1925" s="778"/>
      <c r="O1925" s="778"/>
      <c r="P1925" s="778"/>
      <c r="Q1925" s="778"/>
      <c r="R1925" s="778"/>
      <c r="S1925" s="778"/>
    </row>
    <row r="1926" spans="14:19" ht="27.95" customHeight="1">
      <c r="N1926" s="778"/>
      <c r="O1926" s="778"/>
      <c r="P1926" s="778"/>
      <c r="Q1926" s="778"/>
      <c r="R1926" s="778"/>
      <c r="S1926" s="778"/>
    </row>
    <row r="1927" spans="14:19" ht="27.95" customHeight="1">
      <c r="N1927" s="778"/>
      <c r="O1927" s="778"/>
      <c r="P1927" s="778"/>
      <c r="Q1927" s="778"/>
      <c r="R1927" s="778"/>
      <c r="S1927" s="778"/>
    </row>
    <row r="1928" spans="14:19" ht="27.95" customHeight="1">
      <c r="N1928" s="778"/>
      <c r="O1928" s="778"/>
      <c r="P1928" s="778"/>
      <c r="Q1928" s="778"/>
      <c r="R1928" s="778"/>
      <c r="S1928" s="778"/>
    </row>
    <row r="1929" spans="14:19" ht="27.95" customHeight="1">
      <c r="N1929" s="778"/>
      <c r="O1929" s="778"/>
      <c r="P1929" s="778"/>
      <c r="Q1929" s="778"/>
      <c r="R1929" s="778"/>
      <c r="S1929" s="778"/>
    </row>
    <row r="1930" spans="14:19" ht="27.95" customHeight="1">
      <c r="N1930" s="778"/>
      <c r="O1930" s="778"/>
      <c r="P1930" s="778"/>
      <c r="Q1930" s="778"/>
      <c r="R1930" s="778"/>
      <c r="S1930" s="778"/>
    </row>
    <row r="1931" spans="14:19" ht="27.95" customHeight="1">
      <c r="N1931" s="778"/>
      <c r="O1931" s="778"/>
      <c r="P1931" s="778"/>
      <c r="Q1931" s="778"/>
      <c r="R1931" s="778"/>
      <c r="S1931" s="778"/>
    </row>
    <row r="1932" spans="14:19" ht="27.95" customHeight="1">
      <c r="N1932" s="778"/>
      <c r="O1932" s="778"/>
      <c r="P1932" s="778"/>
      <c r="Q1932" s="778"/>
      <c r="R1932" s="778"/>
      <c r="S1932" s="778"/>
    </row>
    <row r="1933" spans="14:19" ht="27.95" customHeight="1">
      <c r="N1933" s="778"/>
      <c r="O1933" s="778"/>
      <c r="P1933" s="778"/>
      <c r="Q1933" s="778"/>
      <c r="R1933" s="778"/>
      <c r="S1933" s="778"/>
    </row>
    <row r="1934" spans="14:19" ht="27.95" customHeight="1">
      <c r="N1934" s="778"/>
      <c r="O1934" s="778"/>
      <c r="P1934" s="778"/>
      <c r="Q1934" s="778"/>
      <c r="R1934" s="778"/>
      <c r="S1934" s="778"/>
    </row>
    <row r="1935" spans="14:19" ht="27.95" customHeight="1">
      <c r="N1935" s="778"/>
      <c r="O1935" s="778"/>
      <c r="P1935" s="778"/>
      <c r="Q1935" s="778"/>
      <c r="R1935" s="778"/>
      <c r="S1935" s="778"/>
    </row>
    <row r="1936" spans="14:19" ht="27.95" customHeight="1">
      <c r="N1936" s="778"/>
      <c r="O1936" s="778"/>
      <c r="P1936" s="778"/>
      <c r="Q1936" s="778"/>
      <c r="R1936" s="778"/>
      <c r="S1936" s="778"/>
    </row>
    <row r="1937" spans="14:19" ht="27.95" customHeight="1">
      <c r="N1937" s="778"/>
      <c r="O1937" s="778"/>
      <c r="P1937" s="778"/>
      <c r="Q1937" s="778"/>
      <c r="R1937" s="778"/>
      <c r="S1937" s="778"/>
    </row>
    <row r="1938" spans="14:19" ht="27.95" customHeight="1">
      <c r="N1938" s="778"/>
      <c r="O1938" s="778"/>
      <c r="P1938" s="778"/>
      <c r="Q1938" s="778"/>
      <c r="R1938" s="778"/>
      <c r="S1938" s="778"/>
    </row>
    <row r="1939" spans="14:19" ht="27.95" customHeight="1">
      <c r="N1939" s="778"/>
      <c r="O1939" s="778"/>
      <c r="P1939" s="778"/>
      <c r="Q1939" s="778"/>
      <c r="R1939" s="778"/>
      <c r="S1939" s="778"/>
    </row>
    <row r="1940" spans="14:19" ht="27.95" customHeight="1">
      <c r="N1940" s="778"/>
      <c r="O1940" s="778"/>
      <c r="P1940" s="778"/>
      <c r="Q1940" s="778"/>
      <c r="R1940" s="778"/>
      <c r="S1940" s="778"/>
    </row>
    <row r="1941" spans="14:19" ht="27.95" customHeight="1">
      <c r="N1941" s="778"/>
      <c r="O1941" s="778"/>
      <c r="P1941" s="778"/>
      <c r="Q1941" s="778"/>
      <c r="R1941" s="778"/>
      <c r="S1941" s="778"/>
    </row>
    <row r="1942" spans="14:19" ht="27.95" customHeight="1">
      <c r="N1942" s="778"/>
      <c r="O1942" s="778"/>
      <c r="P1942" s="778"/>
      <c r="Q1942" s="778"/>
      <c r="R1942" s="778"/>
      <c r="S1942" s="778"/>
    </row>
    <row r="1943" spans="14:19" ht="27.95" customHeight="1">
      <c r="N1943" s="778"/>
      <c r="O1943" s="778"/>
      <c r="P1943" s="778"/>
      <c r="Q1943" s="778"/>
      <c r="R1943" s="778"/>
      <c r="S1943" s="778"/>
    </row>
    <row r="1944" spans="14:19" ht="27.95" customHeight="1">
      <c r="N1944" s="778"/>
      <c r="O1944" s="778"/>
      <c r="P1944" s="778"/>
      <c r="Q1944" s="778"/>
      <c r="R1944" s="778"/>
      <c r="S1944" s="778"/>
    </row>
    <row r="1945" spans="14:19" ht="27.95" customHeight="1">
      <c r="N1945" s="778"/>
      <c r="O1945" s="778"/>
      <c r="P1945" s="778"/>
      <c r="Q1945" s="778"/>
      <c r="R1945" s="778"/>
      <c r="S1945" s="778"/>
    </row>
    <row r="1946" spans="14:19" ht="27.95" customHeight="1">
      <c r="N1946" s="778"/>
      <c r="O1946" s="778"/>
      <c r="P1946" s="778"/>
      <c r="Q1946" s="778"/>
      <c r="R1946" s="778"/>
      <c r="S1946" s="778"/>
    </row>
    <row r="1947" spans="14:19" ht="27.95" customHeight="1">
      <c r="N1947" s="778"/>
      <c r="O1947" s="778"/>
      <c r="P1947" s="778"/>
      <c r="Q1947" s="778"/>
      <c r="R1947" s="778"/>
      <c r="S1947" s="778"/>
    </row>
    <row r="1948" spans="14:19" ht="27.95" customHeight="1">
      <c r="N1948" s="778"/>
      <c r="O1948" s="778"/>
      <c r="P1948" s="778"/>
      <c r="Q1948" s="778"/>
      <c r="R1948" s="778"/>
      <c r="S1948" s="778"/>
    </row>
    <row r="1949" spans="14:19" ht="27.95" customHeight="1">
      <c r="N1949" s="778"/>
      <c r="O1949" s="778"/>
      <c r="P1949" s="778"/>
      <c r="Q1949" s="778"/>
      <c r="R1949" s="778"/>
      <c r="S1949" s="778"/>
    </row>
    <row r="1950" spans="14:19" ht="27.95" customHeight="1">
      <c r="N1950" s="778"/>
      <c r="O1950" s="778"/>
      <c r="P1950" s="778"/>
      <c r="Q1950" s="778"/>
      <c r="R1950" s="778"/>
      <c r="S1950" s="778"/>
    </row>
    <row r="1951" spans="14:19" ht="27.95" customHeight="1">
      <c r="N1951" s="778"/>
      <c r="O1951" s="778"/>
      <c r="P1951" s="778"/>
      <c r="Q1951" s="778"/>
      <c r="R1951" s="778"/>
      <c r="S1951" s="778"/>
    </row>
    <row r="1952" spans="14:19" ht="27.95" customHeight="1">
      <c r="N1952" s="778"/>
      <c r="O1952" s="778"/>
      <c r="P1952" s="778"/>
      <c r="Q1952" s="778"/>
      <c r="R1952" s="778"/>
      <c r="S1952" s="778"/>
    </row>
    <row r="1953" spans="14:19" ht="27.95" customHeight="1">
      <c r="N1953" s="778"/>
      <c r="O1953" s="778"/>
      <c r="P1953" s="778"/>
      <c r="Q1953" s="778"/>
      <c r="R1953" s="778"/>
      <c r="S1953" s="778"/>
    </row>
    <row r="1954" spans="14:19" ht="27.95" customHeight="1">
      <c r="N1954" s="778"/>
      <c r="O1954" s="778"/>
      <c r="P1954" s="778"/>
      <c r="Q1954" s="778"/>
      <c r="R1954" s="778"/>
      <c r="S1954" s="778"/>
    </row>
    <row r="1955" spans="14:19" ht="27.95" customHeight="1">
      <c r="N1955" s="778"/>
      <c r="O1955" s="778"/>
      <c r="P1955" s="778"/>
      <c r="Q1955" s="778"/>
      <c r="R1955" s="778"/>
      <c r="S1955" s="778"/>
    </row>
    <row r="1956" spans="14:19" ht="27.95" customHeight="1">
      <c r="N1956" s="778"/>
      <c r="O1956" s="778"/>
      <c r="P1956" s="778"/>
      <c r="Q1956" s="778"/>
      <c r="R1956" s="778"/>
      <c r="S1956" s="778"/>
    </row>
    <row r="1957" spans="14:19" ht="27.95" customHeight="1">
      <c r="N1957" s="778"/>
      <c r="O1957" s="778"/>
      <c r="P1957" s="778"/>
      <c r="Q1957" s="778"/>
      <c r="R1957" s="778"/>
      <c r="S1957" s="778"/>
    </row>
    <row r="1958" spans="14:19" ht="27.95" customHeight="1">
      <c r="N1958" s="778"/>
      <c r="O1958" s="778"/>
      <c r="P1958" s="778"/>
      <c r="Q1958" s="778"/>
      <c r="R1958" s="778"/>
      <c r="S1958" s="778"/>
    </row>
    <row r="1959" spans="14:19" ht="27.95" customHeight="1">
      <c r="N1959" s="778"/>
      <c r="O1959" s="778"/>
      <c r="P1959" s="778"/>
      <c r="Q1959" s="778"/>
      <c r="R1959" s="778"/>
      <c r="S1959" s="778"/>
    </row>
    <row r="1960" spans="14:19" ht="27.95" customHeight="1">
      <c r="N1960" s="778"/>
      <c r="O1960" s="778"/>
      <c r="P1960" s="778"/>
      <c r="Q1960" s="778"/>
      <c r="R1960" s="778"/>
      <c r="S1960" s="778"/>
    </row>
    <row r="1961" spans="14:19" ht="27.95" customHeight="1">
      <c r="N1961" s="778"/>
      <c r="O1961" s="778"/>
      <c r="P1961" s="778"/>
      <c r="Q1961" s="778"/>
      <c r="R1961" s="778"/>
      <c r="S1961" s="778"/>
    </row>
    <row r="1962" spans="14:19" ht="27.95" customHeight="1">
      <c r="N1962" s="778"/>
      <c r="O1962" s="778"/>
      <c r="P1962" s="778"/>
      <c r="Q1962" s="778"/>
      <c r="R1962" s="778"/>
      <c r="S1962" s="778"/>
    </row>
    <row r="1963" spans="14:19" ht="27.95" customHeight="1">
      <c r="N1963" s="778"/>
      <c r="O1963" s="778"/>
      <c r="P1963" s="778"/>
      <c r="Q1963" s="778"/>
      <c r="R1963" s="778"/>
      <c r="S1963" s="778"/>
    </row>
    <row r="1964" spans="14:19" ht="27.95" customHeight="1">
      <c r="N1964" s="778"/>
      <c r="O1964" s="778"/>
      <c r="P1964" s="778"/>
      <c r="Q1964" s="778"/>
      <c r="R1964" s="778"/>
      <c r="S1964" s="778"/>
    </row>
    <row r="1965" spans="14:19" ht="27.95" customHeight="1">
      <c r="N1965" s="778"/>
      <c r="O1965" s="778"/>
      <c r="P1965" s="778"/>
      <c r="Q1965" s="778"/>
      <c r="R1965" s="778"/>
      <c r="S1965" s="778"/>
    </row>
    <row r="1966" spans="14:19" ht="27.95" customHeight="1">
      <c r="N1966" s="778"/>
      <c r="O1966" s="778"/>
      <c r="P1966" s="778"/>
      <c r="Q1966" s="778"/>
      <c r="R1966" s="778"/>
      <c r="S1966" s="778"/>
    </row>
    <row r="1967" spans="14:19" ht="27.95" customHeight="1">
      <c r="N1967" s="778"/>
      <c r="O1967" s="778"/>
      <c r="P1967" s="778"/>
      <c r="Q1967" s="778"/>
      <c r="R1967" s="778"/>
      <c r="S1967" s="778"/>
    </row>
    <row r="1968" spans="14:19" ht="27.95" customHeight="1">
      <c r="N1968" s="778"/>
      <c r="O1968" s="778"/>
      <c r="P1968" s="778"/>
      <c r="Q1968" s="778"/>
      <c r="R1968" s="778"/>
      <c r="S1968" s="778"/>
    </row>
    <row r="1969" spans="14:19" ht="27.95" customHeight="1">
      <c r="N1969" s="778"/>
      <c r="O1969" s="778"/>
      <c r="P1969" s="778"/>
      <c r="Q1969" s="778"/>
      <c r="R1969" s="778"/>
      <c r="S1969" s="778"/>
    </row>
    <row r="1970" spans="14:19" ht="27.95" customHeight="1">
      <c r="N1970" s="778"/>
      <c r="O1970" s="778"/>
      <c r="P1970" s="778"/>
      <c r="Q1970" s="778"/>
      <c r="R1970" s="778"/>
      <c r="S1970" s="778"/>
    </row>
    <row r="1971" spans="14:19" ht="27.95" customHeight="1">
      <c r="N1971" s="778"/>
      <c r="O1971" s="778"/>
      <c r="P1971" s="778"/>
      <c r="Q1971" s="778"/>
      <c r="R1971" s="778"/>
      <c r="S1971" s="778"/>
    </row>
    <row r="1972" spans="14:19" ht="27.95" customHeight="1">
      <c r="N1972" s="778"/>
      <c r="O1972" s="778"/>
      <c r="P1972" s="778"/>
      <c r="Q1972" s="778"/>
      <c r="R1972" s="778"/>
      <c r="S1972" s="778"/>
    </row>
    <row r="1973" spans="14:19" ht="27.95" customHeight="1">
      <c r="N1973" s="778"/>
      <c r="O1973" s="778"/>
      <c r="P1973" s="778"/>
      <c r="Q1973" s="778"/>
      <c r="R1973" s="778"/>
      <c r="S1973" s="778"/>
    </row>
    <row r="1974" spans="14:19" ht="27.95" customHeight="1">
      <c r="N1974" s="778"/>
      <c r="O1974" s="778"/>
      <c r="P1974" s="778"/>
      <c r="Q1974" s="778"/>
      <c r="R1974" s="778"/>
      <c r="S1974" s="778"/>
    </row>
    <row r="1975" spans="14:19" ht="27.95" customHeight="1">
      <c r="N1975" s="778"/>
      <c r="O1975" s="778"/>
      <c r="P1975" s="778"/>
      <c r="Q1975" s="778"/>
      <c r="R1975" s="778"/>
      <c r="S1975" s="778"/>
    </row>
    <row r="1976" spans="14:19" ht="27.95" customHeight="1">
      <c r="N1976" s="778"/>
      <c r="O1976" s="778"/>
      <c r="P1976" s="778"/>
      <c r="Q1976" s="778"/>
      <c r="R1976" s="778"/>
      <c r="S1976" s="778"/>
    </row>
    <row r="1977" spans="14:19" ht="27.95" customHeight="1">
      <c r="N1977" s="778"/>
      <c r="O1977" s="778"/>
      <c r="P1977" s="778"/>
      <c r="Q1977" s="778"/>
      <c r="R1977" s="778"/>
      <c r="S1977" s="778"/>
    </row>
    <row r="1978" spans="14:19" ht="27.95" customHeight="1">
      <c r="N1978" s="778"/>
      <c r="O1978" s="778"/>
      <c r="P1978" s="778"/>
      <c r="Q1978" s="778"/>
      <c r="R1978" s="778"/>
      <c r="S1978" s="778"/>
    </row>
    <row r="1979" spans="14:19" ht="27.95" customHeight="1">
      <c r="N1979" s="778"/>
      <c r="O1979" s="778"/>
      <c r="P1979" s="778"/>
      <c r="Q1979" s="778"/>
      <c r="R1979" s="778"/>
      <c r="S1979" s="778"/>
    </row>
    <row r="1980" spans="14:19" ht="27.95" customHeight="1">
      <c r="N1980" s="778"/>
      <c r="O1980" s="778"/>
      <c r="P1980" s="778"/>
      <c r="Q1980" s="778"/>
      <c r="R1980" s="778"/>
      <c r="S1980" s="778"/>
    </row>
    <row r="1981" spans="14:19" ht="27.95" customHeight="1">
      <c r="N1981" s="778"/>
      <c r="O1981" s="778"/>
      <c r="P1981" s="778"/>
      <c r="Q1981" s="778"/>
      <c r="R1981" s="778"/>
      <c r="S1981" s="778"/>
    </row>
    <row r="1982" spans="14:19" ht="27.95" customHeight="1">
      <c r="N1982" s="778"/>
      <c r="O1982" s="778"/>
      <c r="P1982" s="778"/>
      <c r="Q1982" s="778"/>
      <c r="R1982" s="778"/>
      <c r="S1982" s="778"/>
    </row>
    <row r="1983" spans="14:19" ht="27.95" customHeight="1">
      <c r="N1983" s="778"/>
      <c r="O1983" s="778"/>
      <c r="P1983" s="778"/>
      <c r="Q1983" s="778"/>
      <c r="R1983" s="778"/>
      <c r="S1983" s="778"/>
    </row>
    <row r="1984" spans="14:19" ht="27.95" customHeight="1">
      <c r="N1984" s="778"/>
      <c r="O1984" s="778"/>
      <c r="P1984" s="778"/>
      <c r="Q1984" s="778"/>
      <c r="R1984" s="778"/>
      <c r="S1984" s="778"/>
    </row>
    <row r="1985" spans="14:19" ht="27.95" customHeight="1">
      <c r="N1985" s="778"/>
      <c r="O1985" s="778"/>
      <c r="P1985" s="778"/>
      <c r="Q1985" s="778"/>
      <c r="R1985" s="778"/>
      <c r="S1985" s="778"/>
    </row>
    <row r="1986" spans="14:19" ht="27.95" customHeight="1">
      <c r="N1986" s="778"/>
      <c r="O1986" s="778"/>
      <c r="P1986" s="778"/>
      <c r="Q1986" s="778"/>
      <c r="R1986" s="778"/>
      <c r="S1986" s="778"/>
    </row>
    <row r="1987" spans="14:19" ht="27.95" customHeight="1">
      <c r="N1987" s="778"/>
      <c r="O1987" s="778"/>
      <c r="P1987" s="778"/>
      <c r="Q1987" s="778"/>
      <c r="R1987" s="778"/>
      <c r="S1987" s="778"/>
    </row>
    <row r="1988" spans="14:19" ht="27.95" customHeight="1">
      <c r="N1988" s="778"/>
      <c r="O1988" s="778"/>
      <c r="P1988" s="778"/>
      <c r="Q1988" s="778"/>
      <c r="R1988" s="778"/>
      <c r="S1988" s="778"/>
    </row>
    <row r="1989" spans="14:19" ht="27.95" customHeight="1">
      <c r="N1989" s="778"/>
      <c r="O1989" s="778"/>
      <c r="P1989" s="778"/>
      <c r="Q1989" s="778"/>
      <c r="R1989" s="778"/>
      <c r="S1989" s="778"/>
    </row>
    <row r="1990" spans="14:19" ht="27.95" customHeight="1">
      <c r="N1990" s="778"/>
      <c r="O1990" s="778"/>
      <c r="P1990" s="778"/>
      <c r="Q1990" s="778"/>
      <c r="R1990" s="778"/>
      <c r="S1990" s="778"/>
    </row>
    <row r="1991" spans="14:19" ht="27.95" customHeight="1">
      <c r="N1991" s="778"/>
      <c r="O1991" s="778"/>
      <c r="P1991" s="778"/>
      <c r="Q1991" s="778"/>
      <c r="R1991" s="778"/>
      <c r="S1991" s="778"/>
    </row>
    <row r="1992" spans="14:19" ht="27.95" customHeight="1">
      <c r="N1992" s="778"/>
      <c r="O1992" s="778"/>
      <c r="P1992" s="778"/>
      <c r="Q1992" s="778"/>
      <c r="R1992" s="778"/>
      <c r="S1992" s="778"/>
    </row>
    <row r="1993" spans="14:19" ht="27.95" customHeight="1">
      <c r="N1993" s="778"/>
      <c r="O1993" s="778"/>
      <c r="P1993" s="778"/>
      <c r="Q1993" s="778"/>
      <c r="R1993" s="778"/>
      <c r="S1993" s="778"/>
    </row>
    <row r="1994" spans="14:19" ht="27.95" customHeight="1">
      <c r="N1994" s="778"/>
      <c r="O1994" s="778"/>
      <c r="P1994" s="778"/>
      <c r="Q1994" s="778"/>
      <c r="R1994" s="778"/>
      <c r="S1994" s="778"/>
    </row>
    <row r="1995" spans="14:19" ht="27.95" customHeight="1">
      <c r="N1995" s="778"/>
      <c r="O1995" s="778"/>
      <c r="P1995" s="778"/>
      <c r="Q1995" s="778"/>
      <c r="R1995" s="778"/>
      <c r="S1995" s="778"/>
    </row>
    <row r="1996" spans="14:19" ht="27.95" customHeight="1">
      <c r="N1996" s="778"/>
      <c r="O1996" s="778"/>
      <c r="P1996" s="778"/>
      <c r="Q1996" s="778"/>
      <c r="R1996" s="778"/>
      <c r="S1996" s="778"/>
    </row>
    <row r="1997" spans="14:19" ht="27.95" customHeight="1">
      <c r="N1997" s="778"/>
      <c r="O1997" s="778"/>
      <c r="P1997" s="778"/>
      <c r="Q1997" s="778"/>
      <c r="R1997" s="778"/>
      <c r="S1997" s="778"/>
    </row>
    <row r="1998" spans="14:19" ht="27.95" customHeight="1">
      <c r="N1998" s="778"/>
      <c r="O1998" s="778"/>
      <c r="P1998" s="778"/>
      <c r="Q1998" s="778"/>
      <c r="R1998" s="778"/>
      <c r="S1998" s="778"/>
    </row>
    <row r="1999" spans="14:19" ht="27.95" customHeight="1">
      <c r="N1999" s="778"/>
      <c r="O1999" s="778"/>
      <c r="P1999" s="778"/>
      <c r="Q1999" s="778"/>
      <c r="R1999" s="778"/>
      <c r="S1999" s="778"/>
    </row>
    <row r="2000" spans="14:19" ht="27.95" customHeight="1">
      <c r="N2000" s="778"/>
      <c r="O2000" s="778"/>
      <c r="P2000" s="778"/>
      <c r="Q2000" s="778"/>
      <c r="R2000" s="778"/>
      <c r="S2000" s="778"/>
    </row>
    <row r="2001" spans="14:19" ht="27.95" customHeight="1">
      <c r="N2001" s="778"/>
      <c r="O2001" s="778"/>
      <c r="P2001" s="778"/>
      <c r="Q2001" s="778"/>
      <c r="R2001" s="778"/>
      <c r="S2001" s="778"/>
    </row>
    <row r="2002" spans="14:19" ht="27.95" customHeight="1">
      <c r="N2002" s="778"/>
      <c r="O2002" s="778"/>
      <c r="P2002" s="778"/>
      <c r="Q2002" s="778"/>
      <c r="R2002" s="778"/>
      <c r="S2002" s="778"/>
    </row>
    <row r="2003" spans="14:19" ht="27.95" customHeight="1">
      <c r="N2003" s="778"/>
      <c r="O2003" s="778"/>
      <c r="P2003" s="778"/>
      <c r="Q2003" s="778"/>
      <c r="R2003" s="778"/>
      <c r="S2003" s="778"/>
    </row>
    <row r="2004" spans="14:19" ht="27.95" customHeight="1">
      <c r="N2004" s="778"/>
      <c r="O2004" s="778"/>
      <c r="P2004" s="778"/>
      <c r="Q2004" s="778"/>
      <c r="R2004" s="778"/>
      <c r="S2004" s="778"/>
    </row>
    <row r="2005" spans="14:19" ht="27.95" customHeight="1">
      <c r="N2005" s="778"/>
      <c r="O2005" s="778"/>
      <c r="P2005" s="778"/>
      <c r="Q2005" s="778"/>
      <c r="R2005" s="778"/>
      <c r="S2005" s="778"/>
    </row>
    <row r="2006" spans="14:19" ht="27.95" customHeight="1">
      <c r="N2006" s="778"/>
      <c r="O2006" s="778"/>
      <c r="P2006" s="778"/>
      <c r="Q2006" s="778"/>
      <c r="R2006" s="778"/>
      <c r="S2006" s="778"/>
    </row>
    <row r="2007" spans="14:19" ht="27.95" customHeight="1">
      <c r="N2007" s="778"/>
      <c r="O2007" s="778"/>
      <c r="P2007" s="778"/>
      <c r="Q2007" s="778"/>
      <c r="R2007" s="778"/>
      <c r="S2007" s="778"/>
    </row>
    <row r="2008" spans="14:19" ht="27.95" customHeight="1">
      <c r="N2008" s="778"/>
      <c r="O2008" s="778"/>
      <c r="P2008" s="778"/>
      <c r="Q2008" s="778"/>
      <c r="R2008" s="778"/>
      <c r="S2008" s="778"/>
    </row>
    <row r="2009" spans="14:19" ht="27.95" customHeight="1">
      <c r="N2009" s="778"/>
      <c r="O2009" s="778"/>
      <c r="P2009" s="778"/>
      <c r="Q2009" s="778"/>
      <c r="R2009" s="778"/>
      <c r="S2009" s="778"/>
    </row>
    <row r="2010" spans="14:19" ht="27.95" customHeight="1">
      <c r="N2010" s="778"/>
      <c r="O2010" s="778"/>
      <c r="P2010" s="778"/>
      <c r="Q2010" s="778"/>
      <c r="R2010" s="778"/>
      <c r="S2010" s="778"/>
    </row>
    <row r="2011" spans="14:19" ht="27.95" customHeight="1">
      <c r="N2011" s="778"/>
      <c r="O2011" s="778"/>
      <c r="P2011" s="778"/>
      <c r="Q2011" s="778"/>
      <c r="R2011" s="778"/>
      <c r="S2011" s="778"/>
    </row>
    <row r="2012" spans="14:19" ht="27.95" customHeight="1">
      <c r="N2012" s="778"/>
      <c r="O2012" s="778"/>
      <c r="P2012" s="778"/>
      <c r="Q2012" s="778"/>
      <c r="R2012" s="778"/>
      <c r="S2012" s="778"/>
    </row>
    <row r="2013" spans="14:19" ht="27.95" customHeight="1">
      <c r="N2013" s="778"/>
      <c r="O2013" s="778"/>
      <c r="P2013" s="778"/>
      <c r="Q2013" s="778"/>
      <c r="R2013" s="778"/>
      <c r="S2013" s="778"/>
    </row>
    <row r="2014" spans="14:19" ht="27.95" customHeight="1">
      <c r="N2014" s="778"/>
      <c r="O2014" s="778"/>
      <c r="P2014" s="778"/>
      <c r="Q2014" s="778"/>
      <c r="R2014" s="778"/>
      <c r="S2014" s="778"/>
    </row>
    <row r="2015" spans="14:19" ht="27.95" customHeight="1">
      <c r="N2015" s="778"/>
      <c r="O2015" s="778"/>
      <c r="P2015" s="778"/>
      <c r="Q2015" s="778"/>
      <c r="R2015" s="778"/>
      <c r="S2015" s="778"/>
    </row>
    <row r="2016" spans="14:19" ht="27.95" customHeight="1">
      <c r="N2016" s="778"/>
      <c r="O2016" s="778"/>
      <c r="P2016" s="778"/>
      <c r="Q2016" s="778"/>
      <c r="R2016" s="778"/>
      <c r="S2016" s="778"/>
    </row>
    <row r="2017" spans="14:19" ht="27.95" customHeight="1">
      <c r="N2017" s="778"/>
      <c r="O2017" s="778"/>
      <c r="P2017" s="778"/>
      <c r="Q2017" s="778"/>
      <c r="R2017" s="778"/>
      <c r="S2017" s="778"/>
    </row>
    <row r="2018" spans="14:19" ht="27.95" customHeight="1">
      <c r="N2018" s="778"/>
      <c r="O2018" s="778"/>
      <c r="P2018" s="778"/>
      <c r="Q2018" s="778"/>
      <c r="R2018" s="778"/>
      <c r="S2018" s="778"/>
    </row>
    <row r="2019" spans="14:19" ht="27.95" customHeight="1">
      <c r="N2019" s="778"/>
      <c r="O2019" s="778"/>
      <c r="P2019" s="778"/>
      <c r="Q2019" s="778"/>
      <c r="R2019" s="778"/>
      <c r="S2019" s="778"/>
    </row>
    <row r="2020" spans="14:19" ht="27.95" customHeight="1">
      <c r="N2020" s="778"/>
      <c r="O2020" s="778"/>
      <c r="P2020" s="778"/>
      <c r="Q2020" s="778"/>
      <c r="R2020" s="778"/>
      <c r="S2020" s="778"/>
    </row>
    <row r="2021" spans="14:19" ht="27.95" customHeight="1">
      <c r="N2021" s="778"/>
      <c r="O2021" s="778"/>
      <c r="P2021" s="778"/>
      <c r="Q2021" s="778"/>
      <c r="R2021" s="778"/>
      <c r="S2021" s="778"/>
    </row>
    <row r="2022" spans="14:19" ht="27.95" customHeight="1">
      <c r="N2022" s="778"/>
      <c r="O2022" s="778"/>
      <c r="P2022" s="778"/>
      <c r="Q2022" s="778"/>
      <c r="R2022" s="778"/>
      <c r="S2022" s="778"/>
    </row>
    <row r="2023" spans="14:19" ht="27.95" customHeight="1">
      <c r="N2023" s="778"/>
      <c r="O2023" s="778"/>
      <c r="P2023" s="778"/>
      <c r="Q2023" s="778"/>
      <c r="R2023" s="778"/>
      <c r="S2023" s="778"/>
    </row>
    <row r="2024" spans="14:19" ht="27.95" customHeight="1">
      <c r="N2024" s="778"/>
      <c r="O2024" s="778"/>
      <c r="P2024" s="778"/>
      <c r="Q2024" s="778"/>
      <c r="R2024" s="778"/>
      <c r="S2024" s="778"/>
    </row>
    <row r="2025" spans="14:19" ht="27.95" customHeight="1">
      <c r="N2025" s="778"/>
      <c r="O2025" s="778"/>
      <c r="P2025" s="778"/>
      <c r="Q2025" s="778"/>
      <c r="R2025" s="778"/>
      <c r="S2025" s="778"/>
    </row>
    <row r="2026" spans="14:19" ht="27.95" customHeight="1">
      <c r="N2026" s="778"/>
      <c r="O2026" s="778"/>
      <c r="P2026" s="778"/>
      <c r="Q2026" s="778"/>
      <c r="R2026" s="778"/>
      <c r="S2026" s="778"/>
    </row>
    <row r="2027" spans="14:19" ht="27.95" customHeight="1">
      <c r="N2027" s="778"/>
      <c r="O2027" s="778"/>
      <c r="P2027" s="778"/>
      <c r="Q2027" s="778"/>
      <c r="R2027" s="778"/>
      <c r="S2027" s="778"/>
    </row>
    <row r="2028" spans="14:19" ht="27.95" customHeight="1">
      <c r="N2028" s="778"/>
      <c r="O2028" s="778"/>
      <c r="P2028" s="778"/>
      <c r="Q2028" s="778"/>
      <c r="R2028" s="778"/>
      <c r="S2028" s="778"/>
    </row>
    <row r="2029" spans="14:19" ht="27.95" customHeight="1">
      <c r="N2029" s="778"/>
      <c r="O2029" s="778"/>
      <c r="P2029" s="778"/>
      <c r="Q2029" s="778"/>
      <c r="R2029" s="778"/>
      <c r="S2029" s="778"/>
    </row>
    <row r="2030" spans="14:19" ht="27.95" customHeight="1">
      <c r="N2030" s="778"/>
      <c r="O2030" s="778"/>
      <c r="P2030" s="778"/>
      <c r="Q2030" s="778"/>
      <c r="R2030" s="778"/>
      <c r="S2030" s="778"/>
    </row>
    <row r="2031" spans="14:19" ht="27.95" customHeight="1">
      <c r="N2031" s="778"/>
      <c r="O2031" s="778"/>
      <c r="P2031" s="778"/>
      <c r="Q2031" s="778"/>
      <c r="R2031" s="778"/>
      <c r="S2031" s="778"/>
    </row>
    <row r="2032" spans="14:19" ht="27.95" customHeight="1">
      <c r="N2032" s="778"/>
      <c r="O2032" s="778"/>
      <c r="P2032" s="778"/>
      <c r="Q2032" s="778"/>
      <c r="R2032" s="778"/>
      <c r="S2032" s="778"/>
    </row>
    <row r="2033" spans="14:19" ht="27.95" customHeight="1">
      <c r="N2033" s="778"/>
      <c r="O2033" s="778"/>
      <c r="P2033" s="778"/>
      <c r="Q2033" s="778"/>
      <c r="R2033" s="778"/>
      <c r="S2033" s="778"/>
    </row>
    <row r="2034" spans="14:19" ht="27.95" customHeight="1">
      <c r="N2034" s="778"/>
      <c r="O2034" s="778"/>
      <c r="P2034" s="778"/>
      <c r="Q2034" s="778"/>
      <c r="R2034" s="778"/>
      <c r="S2034" s="778"/>
    </row>
    <row r="2035" spans="14:19" ht="27.95" customHeight="1">
      <c r="N2035" s="778"/>
      <c r="O2035" s="778"/>
      <c r="P2035" s="778"/>
      <c r="Q2035" s="778"/>
      <c r="R2035" s="778"/>
      <c r="S2035" s="778"/>
    </row>
    <row r="2036" spans="14:19" ht="27.95" customHeight="1">
      <c r="N2036" s="778"/>
      <c r="O2036" s="778"/>
      <c r="P2036" s="778"/>
      <c r="Q2036" s="778"/>
      <c r="R2036" s="778"/>
      <c r="S2036" s="778"/>
    </row>
    <row r="2037" spans="14:19" ht="27.95" customHeight="1">
      <c r="N2037" s="778"/>
      <c r="O2037" s="778"/>
      <c r="P2037" s="778"/>
      <c r="Q2037" s="778"/>
      <c r="R2037" s="778"/>
      <c r="S2037" s="778"/>
    </row>
    <row r="2038" spans="14:19" ht="27.95" customHeight="1">
      <c r="N2038" s="778"/>
      <c r="O2038" s="778"/>
      <c r="P2038" s="778"/>
      <c r="Q2038" s="778"/>
      <c r="R2038" s="778"/>
      <c r="S2038" s="778"/>
    </row>
    <row r="2039" spans="14:19" ht="27.95" customHeight="1">
      <c r="N2039" s="778"/>
      <c r="O2039" s="778"/>
      <c r="P2039" s="778"/>
      <c r="Q2039" s="778"/>
      <c r="R2039" s="778"/>
      <c r="S2039" s="778"/>
    </row>
    <row r="2040" spans="14:19" ht="27.95" customHeight="1">
      <c r="N2040" s="778"/>
      <c r="O2040" s="778"/>
      <c r="P2040" s="778"/>
      <c r="Q2040" s="778"/>
      <c r="R2040" s="778"/>
      <c r="S2040" s="778"/>
    </row>
    <row r="2041" spans="14:19" ht="27.95" customHeight="1">
      <c r="N2041" s="778"/>
      <c r="O2041" s="778"/>
      <c r="P2041" s="778"/>
      <c r="Q2041" s="778"/>
      <c r="R2041" s="778"/>
      <c r="S2041" s="778"/>
    </row>
    <row r="2042" spans="14:19" ht="27.95" customHeight="1">
      <c r="N2042" s="778"/>
      <c r="O2042" s="778"/>
      <c r="P2042" s="778"/>
      <c r="Q2042" s="778"/>
      <c r="R2042" s="778"/>
      <c r="S2042" s="778"/>
    </row>
    <row r="2043" spans="14:19" ht="27.95" customHeight="1">
      <c r="N2043" s="778"/>
      <c r="O2043" s="778"/>
      <c r="P2043" s="778"/>
      <c r="Q2043" s="778"/>
      <c r="R2043" s="778"/>
      <c r="S2043" s="778"/>
    </row>
    <row r="2044" spans="14:19" ht="27.95" customHeight="1">
      <c r="N2044" s="778"/>
      <c r="O2044" s="778"/>
      <c r="P2044" s="778"/>
      <c r="Q2044" s="778"/>
      <c r="R2044" s="778"/>
      <c r="S2044" s="778"/>
    </row>
    <row r="2045" spans="14:19" ht="27.95" customHeight="1">
      <c r="N2045" s="778"/>
      <c r="O2045" s="778"/>
      <c r="P2045" s="778"/>
      <c r="Q2045" s="778"/>
      <c r="R2045" s="778"/>
      <c r="S2045" s="778"/>
    </row>
    <row r="2046" spans="14:19" ht="27.95" customHeight="1">
      <c r="N2046" s="778"/>
      <c r="O2046" s="778"/>
      <c r="P2046" s="778"/>
      <c r="Q2046" s="778"/>
      <c r="R2046" s="778"/>
      <c r="S2046" s="778"/>
    </row>
    <row r="2047" spans="14:19" ht="27.95" customHeight="1">
      <c r="N2047" s="778"/>
      <c r="O2047" s="778"/>
      <c r="P2047" s="778"/>
      <c r="Q2047" s="778"/>
      <c r="R2047" s="778"/>
      <c r="S2047" s="778"/>
    </row>
    <row r="2048" spans="14:19" ht="27.95" customHeight="1">
      <c r="N2048" s="778"/>
      <c r="O2048" s="778"/>
      <c r="P2048" s="778"/>
      <c r="Q2048" s="778"/>
      <c r="R2048" s="778"/>
      <c r="S2048" s="778"/>
    </row>
    <row r="2049" spans="14:19" ht="27.95" customHeight="1">
      <c r="N2049" s="778"/>
      <c r="O2049" s="778"/>
      <c r="P2049" s="778"/>
      <c r="Q2049" s="778"/>
      <c r="R2049" s="778"/>
      <c r="S2049" s="778"/>
    </row>
    <row r="2050" spans="14:19" ht="27.95" customHeight="1">
      <c r="N2050" s="778"/>
      <c r="O2050" s="778"/>
      <c r="P2050" s="778"/>
      <c r="Q2050" s="778"/>
      <c r="R2050" s="778"/>
      <c r="S2050" s="778"/>
    </row>
    <row r="2051" spans="14:19" ht="27.95" customHeight="1">
      <c r="N2051" s="778"/>
      <c r="O2051" s="778"/>
      <c r="P2051" s="778"/>
      <c r="Q2051" s="778"/>
      <c r="R2051" s="778"/>
      <c r="S2051" s="778"/>
    </row>
    <row r="2052" spans="14:19" ht="27.95" customHeight="1">
      <c r="N2052" s="778"/>
      <c r="O2052" s="778"/>
      <c r="P2052" s="778"/>
      <c r="Q2052" s="778"/>
      <c r="R2052" s="778"/>
      <c r="S2052" s="778"/>
    </row>
    <row r="2053" spans="14:19" ht="27.95" customHeight="1">
      <c r="N2053" s="778"/>
      <c r="O2053" s="778"/>
      <c r="P2053" s="778"/>
      <c r="Q2053" s="778"/>
      <c r="R2053" s="778"/>
      <c r="S2053" s="778"/>
    </row>
    <row r="2054" spans="14:19" ht="27.95" customHeight="1">
      <c r="N2054" s="778"/>
      <c r="O2054" s="778"/>
      <c r="P2054" s="778"/>
      <c r="Q2054" s="778"/>
      <c r="R2054" s="778"/>
      <c r="S2054" s="778"/>
    </row>
    <row r="2055" spans="14:19" ht="27.95" customHeight="1">
      <c r="N2055" s="778"/>
      <c r="O2055" s="778"/>
      <c r="P2055" s="778"/>
      <c r="Q2055" s="778"/>
      <c r="R2055" s="778"/>
      <c r="S2055" s="778"/>
    </row>
    <row r="2056" spans="14:19" ht="27.95" customHeight="1">
      <c r="N2056" s="778"/>
      <c r="O2056" s="778"/>
      <c r="P2056" s="778"/>
      <c r="Q2056" s="778"/>
      <c r="R2056" s="778"/>
      <c r="S2056" s="778"/>
    </row>
    <row r="2057" spans="14:19" ht="27.95" customHeight="1">
      <c r="N2057" s="778"/>
      <c r="O2057" s="778"/>
      <c r="P2057" s="778"/>
      <c r="Q2057" s="778"/>
      <c r="R2057" s="778"/>
      <c r="S2057" s="778"/>
    </row>
    <row r="2058" spans="14:19" ht="27.95" customHeight="1">
      <c r="N2058" s="778"/>
      <c r="O2058" s="778"/>
      <c r="P2058" s="778"/>
      <c r="Q2058" s="778"/>
      <c r="R2058" s="778"/>
      <c r="S2058" s="778"/>
    </row>
    <row r="2059" spans="14:19" ht="27.95" customHeight="1">
      <c r="N2059" s="778"/>
      <c r="O2059" s="778"/>
      <c r="P2059" s="778"/>
      <c r="Q2059" s="778"/>
      <c r="R2059" s="778"/>
      <c r="S2059" s="778"/>
    </row>
    <row r="2060" spans="14:19" ht="27.95" customHeight="1">
      <c r="N2060" s="778"/>
      <c r="O2060" s="778"/>
      <c r="P2060" s="778"/>
      <c r="Q2060" s="778"/>
      <c r="R2060" s="778"/>
      <c r="S2060" s="778"/>
    </row>
    <row r="2061" spans="14:19" ht="27.95" customHeight="1">
      <c r="N2061" s="778"/>
      <c r="O2061" s="778"/>
      <c r="P2061" s="778"/>
      <c r="Q2061" s="778"/>
      <c r="R2061" s="778"/>
      <c r="S2061" s="778"/>
    </row>
    <row r="2062" spans="14:19" ht="27.95" customHeight="1">
      <c r="N2062" s="778"/>
      <c r="O2062" s="778"/>
      <c r="P2062" s="778"/>
      <c r="Q2062" s="778"/>
      <c r="R2062" s="778"/>
      <c r="S2062" s="778"/>
    </row>
    <row r="2063" spans="14:19" ht="27.95" customHeight="1">
      <c r="N2063" s="778"/>
      <c r="O2063" s="778"/>
      <c r="P2063" s="778"/>
      <c r="Q2063" s="778"/>
      <c r="R2063" s="778"/>
      <c r="S2063" s="778"/>
    </row>
    <row r="2064" spans="14:19" ht="27.95" customHeight="1">
      <c r="N2064" s="778"/>
      <c r="O2064" s="778"/>
      <c r="P2064" s="778"/>
      <c r="Q2064" s="778"/>
      <c r="R2064" s="778"/>
      <c r="S2064" s="778"/>
    </row>
    <row r="2065" spans="14:19" ht="27.95" customHeight="1">
      <c r="N2065" s="778"/>
      <c r="O2065" s="778"/>
      <c r="P2065" s="778"/>
      <c r="Q2065" s="778"/>
      <c r="R2065" s="778"/>
      <c r="S2065" s="778"/>
    </row>
    <row r="2066" spans="14:19" ht="27.95" customHeight="1">
      <c r="N2066" s="778"/>
      <c r="O2066" s="778"/>
      <c r="P2066" s="778"/>
      <c r="Q2066" s="778"/>
      <c r="R2066" s="778"/>
      <c r="S2066" s="778"/>
    </row>
    <row r="2067" spans="14:19" ht="27.95" customHeight="1">
      <c r="N2067" s="778"/>
      <c r="O2067" s="778"/>
      <c r="P2067" s="778"/>
      <c r="Q2067" s="778"/>
      <c r="R2067" s="778"/>
      <c r="S2067" s="778"/>
    </row>
    <row r="2068" spans="14:19" ht="27.95" customHeight="1">
      <c r="N2068" s="778"/>
      <c r="O2068" s="778"/>
      <c r="P2068" s="778"/>
      <c r="Q2068" s="778"/>
      <c r="R2068" s="778"/>
      <c r="S2068" s="778"/>
    </row>
    <row r="2069" spans="14:19" ht="27.95" customHeight="1">
      <c r="N2069" s="778"/>
      <c r="O2069" s="778"/>
      <c r="P2069" s="778"/>
      <c r="Q2069" s="778"/>
      <c r="R2069" s="778"/>
      <c r="S2069" s="778"/>
    </row>
    <row r="2070" spans="14:19" ht="27.95" customHeight="1">
      <c r="N2070" s="778"/>
      <c r="O2070" s="778"/>
      <c r="P2070" s="778"/>
      <c r="Q2070" s="778"/>
      <c r="R2070" s="778"/>
      <c r="S2070" s="778"/>
    </row>
    <row r="2071" spans="14:19" ht="27.95" customHeight="1">
      <c r="N2071" s="778"/>
      <c r="O2071" s="778"/>
      <c r="P2071" s="778"/>
      <c r="Q2071" s="778"/>
      <c r="R2071" s="778"/>
      <c r="S2071" s="778"/>
    </row>
    <row r="2072" spans="14:19" ht="27.95" customHeight="1">
      <c r="N2072" s="778"/>
      <c r="O2072" s="778"/>
      <c r="P2072" s="778"/>
      <c r="Q2072" s="778"/>
      <c r="R2072" s="778"/>
      <c r="S2072" s="778"/>
    </row>
    <row r="2073" spans="14:19" ht="27.95" customHeight="1">
      <c r="N2073" s="778"/>
      <c r="O2073" s="778"/>
      <c r="P2073" s="778"/>
      <c r="Q2073" s="778"/>
      <c r="R2073" s="778"/>
      <c r="S2073" s="778"/>
    </row>
    <row r="2074" spans="14:19" ht="27.95" customHeight="1">
      <c r="N2074" s="778"/>
      <c r="O2074" s="778"/>
      <c r="P2074" s="778"/>
      <c r="Q2074" s="778"/>
      <c r="R2074" s="778"/>
      <c r="S2074" s="778"/>
    </row>
    <row r="2075" spans="14:19" ht="27.95" customHeight="1">
      <c r="N2075" s="778"/>
      <c r="O2075" s="778"/>
      <c r="P2075" s="778"/>
      <c r="Q2075" s="778"/>
      <c r="R2075" s="778"/>
      <c r="S2075" s="778"/>
    </row>
    <row r="2076" spans="14:19" ht="27.95" customHeight="1">
      <c r="N2076" s="778"/>
      <c r="O2076" s="778"/>
      <c r="P2076" s="778"/>
      <c r="Q2076" s="778"/>
      <c r="R2076" s="778"/>
      <c r="S2076" s="778"/>
    </row>
    <row r="2077" spans="14:19" ht="27.95" customHeight="1">
      <c r="N2077" s="778"/>
      <c r="O2077" s="778"/>
      <c r="P2077" s="778"/>
      <c r="Q2077" s="778"/>
      <c r="R2077" s="778"/>
      <c r="S2077" s="778"/>
    </row>
    <row r="2078" spans="14:19" ht="27.95" customHeight="1">
      <c r="N2078" s="778"/>
      <c r="O2078" s="778"/>
      <c r="P2078" s="778"/>
      <c r="Q2078" s="778"/>
      <c r="R2078" s="778"/>
      <c r="S2078" s="778"/>
    </row>
    <row r="2079" spans="14:19" ht="27.95" customHeight="1">
      <c r="N2079" s="778"/>
      <c r="O2079" s="778"/>
      <c r="P2079" s="778"/>
      <c r="Q2079" s="778"/>
      <c r="R2079" s="778"/>
      <c r="S2079" s="778"/>
    </row>
    <row r="2080" spans="14:19" ht="27.95" customHeight="1">
      <c r="N2080" s="778"/>
      <c r="O2080" s="778"/>
      <c r="P2080" s="778"/>
      <c r="Q2080" s="778"/>
      <c r="R2080" s="778"/>
      <c r="S2080" s="778"/>
    </row>
    <row r="2081" spans="14:19" ht="27.95" customHeight="1">
      <c r="N2081" s="778"/>
      <c r="O2081" s="778"/>
      <c r="P2081" s="778"/>
      <c r="Q2081" s="778"/>
      <c r="R2081" s="778"/>
      <c r="S2081" s="778"/>
    </row>
    <row r="2082" spans="14:19" ht="27.95" customHeight="1">
      <c r="N2082" s="778"/>
      <c r="O2082" s="778"/>
      <c r="P2082" s="778"/>
      <c r="Q2082" s="778"/>
      <c r="R2082" s="778"/>
      <c r="S2082" s="778"/>
    </row>
    <row r="2083" spans="14:19" ht="27.95" customHeight="1">
      <c r="N2083" s="778"/>
      <c r="O2083" s="778"/>
      <c r="P2083" s="778"/>
      <c r="Q2083" s="778"/>
      <c r="R2083" s="778"/>
      <c r="S2083" s="778"/>
    </row>
    <row r="2084" spans="14:19" ht="27.95" customHeight="1">
      <c r="N2084" s="778"/>
      <c r="O2084" s="778"/>
      <c r="P2084" s="778"/>
      <c r="Q2084" s="778"/>
      <c r="R2084" s="778"/>
      <c r="S2084" s="778"/>
    </row>
    <row r="2085" spans="14:19" ht="27.95" customHeight="1">
      <c r="N2085" s="778"/>
      <c r="O2085" s="778"/>
      <c r="P2085" s="778"/>
      <c r="Q2085" s="778"/>
      <c r="R2085" s="778"/>
      <c r="S2085" s="778"/>
    </row>
    <row r="2086" spans="14:19" ht="27.95" customHeight="1">
      <c r="N2086" s="778"/>
      <c r="O2086" s="778"/>
      <c r="P2086" s="778"/>
      <c r="Q2086" s="778"/>
      <c r="R2086" s="778"/>
      <c r="S2086" s="778"/>
    </row>
    <row r="2087" spans="14:19" ht="27.95" customHeight="1">
      <c r="N2087" s="778"/>
      <c r="O2087" s="778"/>
      <c r="P2087" s="778"/>
      <c r="Q2087" s="778"/>
      <c r="R2087" s="778"/>
      <c r="S2087" s="778"/>
    </row>
    <row r="2088" spans="14:19" ht="27.95" customHeight="1">
      <c r="N2088" s="778"/>
      <c r="O2088" s="778"/>
      <c r="P2088" s="778"/>
      <c r="Q2088" s="778"/>
      <c r="R2088" s="778"/>
      <c r="S2088" s="778"/>
    </row>
    <row r="2089" spans="14:19" ht="27.95" customHeight="1">
      <c r="N2089" s="778"/>
      <c r="O2089" s="778"/>
      <c r="P2089" s="778"/>
      <c r="Q2089" s="778"/>
      <c r="R2089" s="778"/>
      <c r="S2089" s="778"/>
    </row>
    <row r="2090" spans="14:19" ht="27.95" customHeight="1">
      <c r="N2090" s="778"/>
      <c r="O2090" s="778"/>
      <c r="P2090" s="778"/>
      <c r="Q2090" s="778"/>
      <c r="R2090" s="778"/>
      <c r="S2090" s="778"/>
    </row>
    <row r="2091" spans="14:19" ht="27.95" customHeight="1">
      <c r="N2091" s="778"/>
      <c r="O2091" s="778"/>
      <c r="P2091" s="778"/>
      <c r="Q2091" s="778"/>
      <c r="R2091" s="778"/>
      <c r="S2091" s="778"/>
    </row>
    <row r="2092" spans="14:19" ht="27.95" customHeight="1">
      <c r="N2092" s="778"/>
      <c r="O2092" s="778"/>
      <c r="P2092" s="778"/>
      <c r="Q2092" s="778"/>
      <c r="R2092" s="778"/>
      <c r="S2092" s="778"/>
    </row>
    <row r="2093" spans="14:19" ht="27.95" customHeight="1">
      <c r="N2093" s="778"/>
      <c r="O2093" s="778"/>
      <c r="P2093" s="778"/>
      <c r="Q2093" s="778"/>
      <c r="R2093" s="778"/>
      <c r="S2093" s="778"/>
    </row>
    <row r="2094" spans="14:19" ht="27.95" customHeight="1">
      <c r="N2094" s="778"/>
      <c r="O2094" s="778"/>
      <c r="P2094" s="778"/>
      <c r="Q2094" s="778"/>
      <c r="R2094" s="778"/>
      <c r="S2094" s="778"/>
    </row>
    <row r="2095" spans="14:19" ht="27.95" customHeight="1">
      <c r="N2095" s="778"/>
      <c r="O2095" s="778"/>
      <c r="P2095" s="778"/>
      <c r="Q2095" s="778"/>
      <c r="R2095" s="778"/>
      <c r="S2095" s="778"/>
    </row>
    <row r="2096" spans="14:19" ht="27.95" customHeight="1">
      <c r="N2096" s="778"/>
      <c r="O2096" s="778"/>
      <c r="P2096" s="778"/>
      <c r="Q2096" s="778"/>
      <c r="R2096" s="778"/>
      <c r="S2096" s="778"/>
    </row>
    <row r="2097" spans="14:19" ht="27.95" customHeight="1">
      <c r="N2097" s="778"/>
      <c r="O2097" s="778"/>
      <c r="P2097" s="778"/>
      <c r="Q2097" s="778"/>
      <c r="R2097" s="778"/>
      <c r="S2097" s="778"/>
    </row>
    <row r="2098" spans="14:19" ht="27.95" customHeight="1">
      <c r="N2098" s="778"/>
      <c r="O2098" s="778"/>
      <c r="P2098" s="778"/>
      <c r="Q2098" s="778"/>
      <c r="R2098" s="778"/>
      <c r="S2098" s="778"/>
    </row>
    <row r="2099" spans="14:19" ht="27.95" customHeight="1">
      <c r="N2099" s="778"/>
      <c r="O2099" s="778"/>
      <c r="P2099" s="778"/>
      <c r="Q2099" s="778"/>
      <c r="R2099" s="778"/>
      <c r="S2099" s="778"/>
    </row>
    <row r="2100" spans="14:19" ht="27.95" customHeight="1">
      <c r="N2100" s="778"/>
      <c r="O2100" s="778"/>
      <c r="P2100" s="778"/>
      <c r="Q2100" s="778"/>
      <c r="R2100" s="778"/>
      <c r="S2100" s="778"/>
    </row>
    <row r="2101" spans="14:19" ht="27.95" customHeight="1">
      <c r="N2101" s="778"/>
      <c r="O2101" s="778"/>
      <c r="P2101" s="778"/>
      <c r="Q2101" s="778"/>
      <c r="R2101" s="778"/>
      <c r="S2101" s="778"/>
    </row>
    <row r="2102" spans="14:19" ht="27.95" customHeight="1">
      <c r="N2102" s="778"/>
      <c r="O2102" s="778"/>
      <c r="P2102" s="778"/>
      <c r="Q2102" s="778"/>
      <c r="R2102" s="778"/>
      <c r="S2102" s="778"/>
    </row>
    <row r="2103" spans="14:19" ht="27.95" customHeight="1">
      <c r="N2103" s="778"/>
      <c r="O2103" s="778"/>
      <c r="P2103" s="778"/>
      <c r="Q2103" s="778"/>
      <c r="R2103" s="778"/>
      <c r="S2103" s="778"/>
    </row>
    <row r="2104" spans="14:19" ht="27.95" customHeight="1">
      <c r="N2104" s="778"/>
      <c r="O2104" s="778"/>
      <c r="P2104" s="778"/>
      <c r="Q2104" s="778"/>
      <c r="R2104" s="778"/>
      <c r="S2104" s="778"/>
    </row>
    <row r="2105" spans="14:19" ht="27.95" customHeight="1">
      <c r="N2105" s="778"/>
      <c r="O2105" s="778"/>
      <c r="P2105" s="778"/>
      <c r="Q2105" s="778"/>
      <c r="R2105" s="778"/>
      <c r="S2105" s="778"/>
    </row>
    <row r="2106" spans="14:19" ht="27.95" customHeight="1">
      <c r="N2106" s="778"/>
      <c r="O2106" s="778"/>
      <c r="P2106" s="778"/>
      <c r="Q2106" s="778"/>
      <c r="R2106" s="778"/>
      <c r="S2106" s="778"/>
    </row>
    <row r="2107" spans="14:19" ht="27.95" customHeight="1">
      <c r="N2107" s="778"/>
      <c r="O2107" s="778"/>
      <c r="P2107" s="778"/>
      <c r="Q2107" s="778"/>
      <c r="R2107" s="778"/>
      <c r="S2107" s="778"/>
    </row>
    <row r="2108" spans="14:19" ht="27.95" customHeight="1">
      <c r="N2108" s="778"/>
      <c r="O2108" s="778"/>
      <c r="P2108" s="778"/>
      <c r="Q2108" s="778"/>
      <c r="R2108" s="778"/>
      <c r="S2108" s="778"/>
    </row>
    <row r="2109" spans="14:19" ht="27.95" customHeight="1">
      <c r="N2109" s="778"/>
      <c r="O2109" s="778"/>
      <c r="P2109" s="778"/>
      <c r="Q2109" s="778"/>
      <c r="R2109" s="778"/>
      <c r="S2109" s="778"/>
    </row>
    <row r="2110" spans="14:19" ht="27.95" customHeight="1">
      <c r="N2110" s="778"/>
      <c r="O2110" s="778"/>
      <c r="P2110" s="778"/>
      <c r="Q2110" s="778"/>
      <c r="R2110" s="778"/>
      <c r="S2110" s="778"/>
    </row>
    <row r="2111" spans="14:19" ht="27.95" customHeight="1">
      <c r="N2111" s="778"/>
      <c r="O2111" s="778"/>
      <c r="P2111" s="778"/>
      <c r="Q2111" s="778"/>
      <c r="R2111" s="778"/>
      <c r="S2111" s="778"/>
    </row>
    <row r="2112" spans="14:19" ht="27.95" customHeight="1">
      <c r="N2112" s="778"/>
      <c r="O2112" s="778"/>
      <c r="P2112" s="778"/>
      <c r="Q2112" s="778"/>
      <c r="R2112" s="778"/>
      <c r="S2112" s="778"/>
    </row>
    <row r="2113" spans="14:19" ht="27.95" customHeight="1">
      <c r="N2113" s="778"/>
      <c r="O2113" s="778"/>
      <c r="P2113" s="778"/>
      <c r="Q2113" s="778"/>
      <c r="R2113" s="778"/>
      <c r="S2113" s="778"/>
    </row>
    <row r="2114" spans="14:19" ht="27.95" customHeight="1">
      <c r="N2114" s="778"/>
      <c r="O2114" s="778"/>
      <c r="P2114" s="778"/>
      <c r="Q2114" s="778"/>
      <c r="R2114" s="778"/>
      <c r="S2114" s="778"/>
    </row>
    <row r="2115" spans="14:19" ht="27.95" customHeight="1">
      <c r="N2115" s="778"/>
      <c r="O2115" s="778"/>
      <c r="P2115" s="778"/>
      <c r="Q2115" s="778"/>
      <c r="R2115" s="778"/>
      <c r="S2115" s="778"/>
    </row>
    <row r="2116" spans="14:19" ht="27.95" customHeight="1">
      <c r="N2116" s="778"/>
      <c r="O2116" s="778"/>
      <c r="P2116" s="778"/>
      <c r="Q2116" s="778"/>
      <c r="R2116" s="778"/>
      <c r="S2116" s="778"/>
    </row>
    <row r="2117" spans="14:19" ht="27.95" customHeight="1">
      <c r="N2117" s="778"/>
      <c r="O2117" s="778"/>
      <c r="P2117" s="778"/>
      <c r="Q2117" s="778"/>
      <c r="R2117" s="778"/>
      <c r="S2117" s="778"/>
    </row>
    <row r="2118" spans="14:19" ht="27.95" customHeight="1">
      <c r="N2118" s="778"/>
      <c r="O2118" s="778"/>
      <c r="P2118" s="778"/>
      <c r="Q2118" s="778"/>
      <c r="R2118" s="778"/>
      <c r="S2118" s="778"/>
    </row>
    <row r="2119" spans="14:19" ht="27.95" customHeight="1">
      <c r="N2119" s="778"/>
      <c r="O2119" s="778"/>
      <c r="P2119" s="778"/>
      <c r="Q2119" s="778"/>
      <c r="R2119" s="778"/>
      <c r="S2119" s="778"/>
    </row>
    <row r="2120" spans="14:19" ht="27.95" customHeight="1">
      <c r="N2120" s="778"/>
      <c r="O2120" s="778"/>
      <c r="P2120" s="778"/>
      <c r="Q2120" s="778"/>
      <c r="R2120" s="778"/>
      <c r="S2120" s="778"/>
    </row>
    <row r="2121" spans="14:19" ht="27.95" customHeight="1">
      <c r="N2121" s="778"/>
      <c r="O2121" s="778"/>
      <c r="P2121" s="778"/>
      <c r="Q2121" s="778"/>
      <c r="R2121" s="778"/>
      <c r="S2121" s="778"/>
    </row>
    <row r="2122" spans="14:19" ht="27.95" customHeight="1">
      <c r="N2122" s="778"/>
      <c r="O2122" s="778"/>
      <c r="P2122" s="778"/>
      <c r="Q2122" s="778"/>
      <c r="R2122" s="778"/>
      <c r="S2122" s="778"/>
    </row>
    <row r="2123" spans="14:19" ht="27.95" customHeight="1">
      <c r="N2123" s="778"/>
      <c r="O2123" s="778"/>
      <c r="P2123" s="778"/>
      <c r="Q2123" s="778"/>
      <c r="R2123" s="778"/>
      <c r="S2123" s="778"/>
    </row>
    <row r="2124" spans="14:19" ht="27.95" customHeight="1">
      <c r="N2124" s="778"/>
      <c r="O2124" s="778"/>
      <c r="P2124" s="778"/>
      <c r="Q2124" s="778"/>
      <c r="R2124" s="778"/>
      <c r="S2124" s="778"/>
    </row>
    <row r="2125" spans="14:19" ht="27.95" customHeight="1">
      <c r="N2125" s="778"/>
      <c r="O2125" s="778"/>
      <c r="P2125" s="778"/>
      <c r="Q2125" s="778"/>
      <c r="R2125" s="778"/>
      <c r="S2125" s="778"/>
    </row>
    <row r="2126" spans="14:19" ht="27.95" customHeight="1">
      <c r="N2126" s="778"/>
      <c r="O2126" s="778"/>
      <c r="P2126" s="778"/>
      <c r="Q2126" s="778"/>
      <c r="R2126" s="778"/>
      <c r="S2126" s="778"/>
    </row>
    <row r="2127" spans="14:19" ht="27.95" customHeight="1">
      <c r="N2127" s="778"/>
      <c r="O2127" s="778"/>
      <c r="P2127" s="778"/>
      <c r="Q2127" s="778"/>
      <c r="R2127" s="778"/>
      <c r="S2127" s="778"/>
    </row>
    <row r="2128" spans="14:19" ht="27.95" customHeight="1">
      <c r="N2128" s="778"/>
      <c r="O2128" s="778"/>
      <c r="P2128" s="778"/>
      <c r="Q2128" s="778"/>
      <c r="R2128" s="778"/>
      <c r="S2128" s="778"/>
    </row>
    <row r="2129" spans="14:19" ht="27.95" customHeight="1">
      <c r="N2129" s="778"/>
      <c r="O2129" s="778"/>
      <c r="P2129" s="778"/>
      <c r="Q2129" s="778"/>
      <c r="R2129" s="778"/>
      <c r="S2129" s="778"/>
    </row>
    <row r="2130" spans="14:19" ht="27.95" customHeight="1">
      <c r="N2130" s="778"/>
      <c r="O2130" s="778"/>
      <c r="P2130" s="778"/>
      <c r="Q2130" s="778"/>
      <c r="R2130" s="778"/>
      <c r="S2130" s="778"/>
    </row>
    <row r="2131" spans="14:19" ht="27.95" customHeight="1">
      <c r="N2131" s="778"/>
      <c r="O2131" s="778"/>
      <c r="P2131" s="778"/>
      <c r="Q2131" s="778"/>
      <c r="R2131" s="778"/>
      <c r="S2131" s="778"/>
    </row>
    <row r="2132" spans="14:19" ht="27.95" customHeight="1">
      <c r="N2132" s="778"/>
      <c r="O2132" s="778"/>
      <c r="P2132" s="778"/>
      <c r="Q2132" s="778"/>
      <c r="R2132" s="778"/>
      <c r="S2132" s="778"/>
    </row>
    <row r="2133" spans="14:19" ht="27.95" customHeight="1">
      <c r="N2133" s="778"/>
      <c r="O2133" s="778"/>
      <c r="P2133" s="778"/>
      <c r="Q2133" s="778"/>
      <c r="R2133" s="778"/>
      <c r="S2133" s="778"/>
    </row>
    <row r="2134" spans="14:19" ht="27.95" customHeight="1">
      <c r="N2134" s="778"/>
      <c r="O2134" s="778"/>
      <c r="P2134" s="778"/>
      <c r="Q2134" s="778"/>
      <c r="R2134" s="778"/>
      <c r="S2134" s="778"/>
    </row>
    <row r="2135" spans="14:19" ht="27.95" customHeight="1">
      <c r="N2135" s="778"/>
      <c r="O2135" s="778"/>
      <c r="P2135" s="778"/>
      <c r="Q2135" s="778"/>
      <c r="R2135" s="778"/>
      <c r="S2135" s="778"/>
    </row>
    <row r="2136" spans="14:19" ht="27.95" customHeight="1">
      <c r="N2136" s="778"/>
      <c r="O2136" s="778"/>
      <c r="P2136" s="778"/>
      <c r="Q2136" s="778"/>
      <c r="R2136" s="778"/>
      <c r="S2136" s="778"/>
    </row>
    <row r="2137" spans="14:19" ht="27.95" customHeight="1">
      <c r="N2137" s="778"/>
      <c r="O2137" s="778"/>
      <c r="P2137" s="778"/>
      <c r="Q2137" s="778"/>
      <c r="R2137" s="778"/>
      <c r="S2137" s="778"/>
    </row>
    <row r="2138" spans="14:19" ht="27.95" customHeight="1">
      <c r="N2138" s="778"/>
      <c r="O2138" s="778"/>
      <c r="P2138" s="778"/>
      <c r="Q2138" s="778"/>
      <c r="R2138" s="778"/>
      <c r="S2138" s="778"/>
    </row>
    <row r="2139" spans="14:19" ht="27.95" customHeight="1">
      <c r="N2139" s="778"/>
      <c r="O2139" s="778"/>
      <c r="P2139" s="778"/>
      <c r="Q2139" s="778"/>
      <c r="R2139" s="778"/>
      <c r="S2139" s="778"/>
    </row>
    <row r="2140" spans="14:19" ht="27.95" customHeight="1">
      <c r="N2140" s="778"/>
      <c r="O2140" s="778"/>
      <c r="P2140" s="778"/>
      <c r="Q2140" s="778"/>
      <c r="R2140" s="778"/>
      <c r="S2140" s="778"/>
    </row>
    <row r="2141" spans="14:19" ht="27.95" customHeight="1">
      <c r="N2141" s="778"/>
      <c r="O2141" s="778"/>
      <c r="P2141" s="778"/>
      <c r="Q2141" s="778"/>
      <c r="R2141" s="778"/>
      <c r="S2141" s="778"/>
    </row>
    <row r="2142" spans="14:19" ht="27.95" customHeight="1">
      <c r="N2142" s="778"/>
      <c r="O2142" s="778"/>
      <c r="P2142" s="778"/>
      <c r="Q2142" s="778"/>
      <c r="R2142" s="778"/>
      <c r="S2142" s="778"/>
    </row>
    <row r="2143" spans="14:19" ht="27.95" customHeight="1">
      <c r="N2143" s="778"/>
      <c r="O2143" s="778"/>
      <c r="P2143" s="778"/>
      <c r="Q2143" s="778"/>
      <c r="R2143" s="778"/>
      <c r="S2143" s="778"/>
    </row>
    <row r="2144" spans="14:19" ht="27.95" customHeight="1">
      <c r="N2144" s="778"/>
      <c r="O2144" s="778"/>
      <c r="P2144" s="778"/>
      <c r="Q2144" s="778"/>
      <c r="R2144" s="778"/>
      <c r="S2144" s="778"/>
    </row>
    <row r="2145" spans="14:19" ht="27.95" customHeight="1">
      <c r="N2145" s="778"/>
      <c r="O2145" s="778"/>
      <c r="P2145" s="778"/>
      <c r="Q2145" s="778"/>
      <c r="R2145" s="778"/>
      <c r="S2145" s="778"/>
    </row>
    <row r="2146" spans="14:19" ht="27.95" customHeight="1">
      <c r="N2146" s="778"/>
      <c r="O2146" s="778"/>
      <c r="P2146" s="778"/>
      <c r="Q2146" s="778"/>
      <c r="R2146" s="778"/>
      <c r="S2146" s="778"/>
    </row>
    <row r="2147" spans="14:19" ht="27.95" customHeight="1">
      <c r="N2147" s="778"/>
      <c r="O2147" s="778"/>
      <c r="P2147" s="778"/>
      <c r="Q2147" s="778"/>
      <c r="R2147" s="778"/>
      <c r="S2147" s="778"/>
    </row>
    <row r="2148" spans="14:19" ht="27.95" customHeight="1">
      <c r="N2148" s="778"/>
      <c r="O2148" s="778"/>
      <c r="P2148" s="778"/>
      <c r="Q2148" s="778"/>
      <c r="R2148" s="778"/>
      <c r="S2148" s="778"/>
    </row>
    <row r="2149" spans="14:19" ht="27.95" customHeight="1">
      <c r="N2149" s="778"/>
      <c r="O2149" s="778"/>
      <c r="P2149" s="778"/>
      <c r="Q2149" s="778"/>
      <c r="R2149" s="778"/>
      <c r="S2149" s="778"/>
    </row>
    <row r="2150" spans="14:19" ht="27.95" customHeight="1">
      <c r="N2150" s="778"/>
      <c r="O2150" s="778"/>
      <c r="P2150" s="778"/>
      <c r="Q2150" s="778"/>
      <c r="R2150" s="778"/>
      <c r="S2150" s="778"/>
    </row>
    <row r="2151" spans="14:19" ht="27.95" customHeight="1">
      <c r="N2151" s="778"/>
      <c r="O2151" s="778"/>
      <c r="P2151" s="778"/>
      <c r="Q2151" s="778"/>
      <c r="R2151" s="778"/>
      <c r="S2151" s="778"/>
    </row>
    <row r="2152" spans="14:19" ht="27.95" customHeight="1">
      <c r="N2152" s="778"/>
      <c r="O2152" s="778"/>
      <c r="P2152" s="778"/>
      <c r="Q2152" s="778"/>
      <c r="R2152" s="778"/>
      <c r="S2152" s="778"/>
    </row>
    <row r="2153" spans="14:19" ht="27.95" customHeight="1">
      <c r="N2153" s="778"/>
      <c r="O2153" s="778"/>
      <c r="P2153" s="778"/>
      <c r="Q2153" s="778"/>
      <c r="R2153" s="778"/>
      <c r="S2153" s="778"/>
    </row>
    <row r="2154" spans="14:19" ht="27.95" customHeight="1">
      <c r="N2154" s="778"/>
      <c r="O2154" s="778"/>
      <c r="P2154" s="778"/>
      <c r="Q2154" s="778"/>
      <c r="R2154" s="778"/>
      <c r="S2154" s="778"/>
    </row>
    <row r="2155" spans="14:19" ht="27.95" customHeight="1">
      <c r="N2155" s="778"/>
      <c r="O2155" s="778"/>
      <c r="P2155" s="778"/>
      <c r="Q2155" s="778"/>
      <c r="R2155" s="778"/>
      <c r="S2155" s="778"/>
    </row>
    <row r="2156" spans="14:19" ht="27.95" customHeight="1">
      <c r="N2156" s="778"/>
      <c r="O2156" s="778"/>
      <c r="P2156" s="778"/>
      <c r="Q2156" s="778"/>
      <c r="R2156" s="778"/>
      <c r="S2156" s="778"/>
    </row>
    <row r="2157" spans="14:19" ht="27.95" customHeight="1">
      <c r="N2157" s="778"/>
      <c r="O2157" s="778"/>
      <c r="P2157" s="778"/>
      <c r="Q2157" s="778"/>
      <c r="R2157" s="778"/>
      <c r="S2157" s="778"/>
    </row>
    <row r="2158" spans="14:19" ht="27.95" customHeight="1">
      <c r="N2158" s="778"/>
      <c r="O2158" s="778"/>
      <c r="P2158" s="778"/>
      <c r="Q2158" s="778"/>
      <c r="R2158" s="778"/>
      <c r="S2158" s="778"/>
    </row>
    <row r="2159" spans="14:19" ht="27.95" customHeight="1">
      <c r="N2159" s="778"/>
      <c r="O2159" s="778"/>
      <c r="P2159" s="778"/>
      <c r="Q2159" s="778"/>
      <c r="R2159" s="778"/>
      <c r="S2159" s="778"/>
    </row>
    <row r="2160" spans="14:19" ht="27.95" customHeight="1">
      <c r="N2160" s="778"/>
      <c r="O2160" s="778"/>
      <c r="P2160" s="778"/>
      <c r="Q2160" s="778"/>
      <c r="R2160" s="778"/>
      <c r="S2160" s="778"/>
    </row>
    <row r="2161" spans="14:19" ht="27.95" customHeight="1">
      <c r="N2161" s="778"/>
      <c r="O2161" s="778"/>
      <c r="P2161" s="778"/>
      <c r="Q2161" s="778"/>
      <c r="R2161" s="778"/>
      <c r="S2161" s="778"/>
    </row>
    <row r="2162" spans="14:19" ht="27.95" customHeight="1">
      <c r="N2162" s="778"/>
      <c r="O2162" s="778"/>
      <c r="P2162" s="778"/>
      <c r="Q2162" s="778"/>
      <c r="R2162" s="778"/>
      <c r="S2162" s="778"/>
    </row>
    <row r="2163" spans="14:19" ht="27.95" customHeight="1">
      <c r="N2163" s="778"/>
      <c r="O2163" s="778"/>
      <c r="P2163" s="778"/>
      <c r="Q2163" s="778"/>
      <c r="R2163" s="778"/>
      <c r="S2163" s="778"/>
    </row>
    <row r="2164" spans="14:19" ht="27.95" customHeight="1">
      <c r="N2164" s="778"/>
      <c r="O2164" s="778"/>
      <c r="P2164" s="778"/>
      <c r="Q2164" s="778"/>
      <c r="R2164" s="778"/>
      <c r="S2164" s="778"/>
    </row>
    <row r="2165" spans="14:19" ht="27.95" customHeight="1">
      <c r="N2165" s="778"/>
      <c r="O2165" s="778"/>
      <c r="P2165" s="778"/>
      <c r="Q2165" s="778"/>
      <c r="R2165" s="778"/>
      <c r="S2165" s="778"/>
    </row>
    <row r="2166" spans="14:19" ht="27.95" customHeight="1">
      <c r="N2166" s="778"/>
      <c r="O2166" s="778"/>
      <c r="P2166" s="778"/>
      <c r="Q2166" s="778"/>
      <c r="R2166" s="778"/>
      <c r="S2166" s="778"/>
    </row>
    <row r="2167" spans="14:19" ht="27.95" customHeight="1">
      <c r="N2167" s="778"/>
      <c r="O2167" s="778"/>
      <c r="P2167" s="778"/>
      <c r="Q2167" s="778"/>
      <c r="R2167" s="778"/>
      <c r="S2167" s="778"/>
    </row>
    <row r="2168" spans="14:19" ht="27.95" customHeight="1">
      <c r="N2168" s="778"/>
      <c r="O2168" s="778"/>
      <c r="P2168" s="778"/>
      <c r="Q2168" s="778"/>
      <c r="R2168" s="778"/>
      <c r="S2168" s="778"/>
    </row>
    <row r="2169" spans="14:19" ht="27.95" customHeight="1">
      <c r="N2169" s="778"/>
      <c r="O2169" s="778"/>
      <c r="P2169" s="778"/>
      <c r="Q2169" s="778"/>
      <c r="R2169" s="778"/>
      <c r="S2169" s="778"/>
    </row>
    <row r="2170" spans="14:19" ht="27.95" customHeight="1">
      <c r="N2170" s="778"/>
      <c r="O2170" s="778"/>
      <c r="P2170" s="778"/>
      <c r="Q2170" s="778"/>
      <c r="R2170" s="778"/>
      <c r="S2170" s="778"/>
    </row>
    <row r="2171" spans="14:19" ht="27.95" customHeight="1">
      <c r="N2171" s="778"/>
      <c r="O2171" s="778"/>
      <c r="P2171" s="778"/>
      <c r="Q2171" s="778"/>
      <c r="R2171" s="778"/>
      <c r="S2171" s="778"/>
    </row>
    <row r="2172" spans="14:19" ht="27.95" customHeight="1">
      <c r="N2172" s="778"/>
      <c r="O2172" s="778"/>
      <c r="P2172" s="778"/>
      <c r="Q2172" s="778"/>
      <c r="R2172" s="778"/>
      <c r="S2172" s="778"/>
    </row>
    <row r="2173" spans="14:19" ht="27.95" customHeight="1">
      <c r="N2173" s="778"/>
      <c r="O2173" s="778"/>
      <c r="P2173" s="778"/>
      <c r="Q2173" s="778"/>
      <c r="R2173" s="778"/>
      <c r="S2173" s="778"/>
    </row>
    <row r="2174" spans="14:19" ht="27.95" customHeight="1">
      <c r="N2174" s="778"/>
      <c r="O2174" s="778"/>
      <c r="P2174" s="778"/>
      <c r="Q2174" s="778"/>
      <c r="R2174" s="778"/>
      <c r="S2174" s="778"/>
    </row>
    <row r="2175" spans="14:19" ht="27.95" customHeight="1">
      <c r="N2175" s="778"/>
      <c r="O2175" s="778"/>
      <c r="P2175" s="778"/>
      <c r="Q2175" s="778"/>
      <c r="R2175" s="778"/>
      <c r="S2175" s="778"/>
    </row>
    <row r="2176" spans="14:19" ht="27.95" customHeight="1">
      <c r="N2176" s="778"/>
      <c r="O2176" s="778"/>
      <c r="P2176" s="778"/>
      <c r="Q2176" s="778"/>
      <c r="R2176" s="778"/>
      <c r="S2176" s="778"/>
    </row>
    <row r="2177" spans="14:19" ht="27.95" customHeight="1">
      <c r="N2177" s="778"/>
      <c r="O2177" s="778"/>
      <c r="P2177" s="778"/>
      <c r="Q2177" s="778"/>
      <c r="R2177" s="778"/>
      <c r="S2177" s="778"/>
    </row>
    <row r="2178" spans="14:19" ht="27.95" customHeight="1">
      <c r="N2178" s="778"/>
      <c r="O2178" s="778"/>
      <c r="P2178" s="778"/>
      <c r="Q2178" s="778"/>
      <c r="R2178" s="778"/>
      <c r="S2178" s="778"/>
    </row>
    <row r="2179" spans="14:19" ht="27.95" customHeight="1">
      <c r="N2179" s="778"/>
      <c r="O2179" s="778"/>
      <c r="P2179" s="778"/>
      <c r="Q2179" s="778"/>
      <c r="R2179" s="778"/>
      <c r="S2179" s="778"/>
    </row>
    <row r="2180" spans="14:19" ht="27.95" customHeight="1">
      <c r="N2180" s="778"/>
      <c r="O2180" s="778"/>
      <c r="P2180" s="778"/>
      <c r="Q2180" s="778"/>
      <c r="R2180" s="778"/>
      <c r="S2180" s="778"/>
    </row>
    <row r="2181" spans="14:19" ht="27.95" customHeight="1">
      <c r="N2181" s="778"/>
      <c r="O2181" s="778"/>
      <c r="P2181" s="778"/>
      <c r="Q2181" s="778"/>
      <c r="R2181" s="778"/>
      <c r="S2181" s="778"/>
    </row>
    <row r="2182" spans="14:19" ht="27.95" customHeight="1">
      <c r="N2182" s="778"/>
      <c r="O2182" s="778"/>
      <c r="P2182" s="778"/>
      <c r="Q2182" s="778"/>
      <c r="R2182" s="778"/>
      <c r="S2182" s="778"/>
    </row>
    <row r="2183" spans="14:19" ht="27.95" customHeight="1">
      <c r="N2183" s="778"/>
      <c r="O2183" s="778"/>
      <c r="P2183" s="778"/>
      <c r="Q2183" s="778"/>
      <c r="R2183" s="778"/>
      <c r="S2183" s="778"/>
    </row>
    <row r="2184" spans="14:19" ht="27.95" customHeight="1">
      <c r="N2184" s="778"/>
      <c r="O2184" s="778"/>
      <c r="P2184" s="778"/>
      <c r="Q2184" s="778"/>
      <c r="R2184" s="778"/>
      <c r="S2184" s="778"/>
    </row>
    <row r="2185" spans="14:19" ht="27.95" customHeight="1">
      <c r="N2185" s="778"/>
      <c r="O2185" s="778"/>
      <c r="P2185" s="778"/>
      <c r="Q2185" s="778"/>
      <c r="R2185" s="778"/>
      <c r="S2185" s="778"/>
    </row>
    <row r="2186" spans="14:19" ht="27.95" customHeight="1">
      <c r="N2186" s="778"/>
      <c r="O2186" s="778"/>
      <c r="P2186" s="778"/>
      <c r="Q2186" s="778"/>
      <c r="R2186" s="778"/>
      <c r="S2186" s="778"/>
    </row>
    <row r="2187" spans="14:19" ht="27.95" customHeight="1">
      <c r="N2187" s="778"/>
      <c r="O2187" s="778"/>
      <c r="P2187" s="778"/>
      <c r="Q2187" s="778"/>
      <c r="R2187" s="778"/>
      <c r="S2187" s="778"/>
    </row>
    <row r="2188" spans="14:19" ht="27.95" customHeight="1">
      <c r="N2188" s="778"/>
      <c r="O2188" s="778"/>
      <c r="P2188" s="778"/>
      <c r="Q2188" s="778"/>
      <c r="R2188" s="778"/>
      <c r="S2188" s="778"/>
    </row>
    <row r="2189" spans="14:19" ht="27.95" customHeight="1">
      <c r="N2189" s="778"/>
      <c r="O2189" s="778"/>
      <c r="P2189" s="778"/>
      <c r="Q2189" s="778"/>
      <c r="R2189" s="778"/>
      <c r="S2189" s="778"/>
    </row>
    <row r="2190" spans="14:19" ht="27.95" customHeight="1">
      <c r="N2190" s="778"/>
      <c r="O2190" s="778"/>
      <c r="P2190" s="778"/>
      <c r="Q2190" s="778"/>
      <c r="R2190" s="778"/>
      <c r="S2190" s="778"/>
    </row>
    <row r="2191" spans="14:19" ht="27.95" customHeight="1">
      <c r="N2191" s="778"/>
      <c r="O2191" s="778"/>
      <c r="P2191" s="778"/>
      <c r="Q2191" s="778"/>
      <c r="R2191" s="778"/>
      <c r="S2191" s="778"/>
    </row>
    <row r="2192" spans="14:19" ht="27.95" customHeight="1">
      <c r="N2192" s="778"/>
      <c r="O2192" s="778"/>
      <c r="P2192" s="778"/>
      <c r="Q2192" s="778"/>
      <c r="R2192" s="778"/>
      <c r="S2192" s="778"/>
    </row>
    <row r="2193" spans="14:19" ht="27.95" customHeight="1">
      <c r="N2193" s="778"/>
      <c r="O2193" s="778"/>
      <c r="P2193" s="778"/>
      <c r="Q2193" s="778"/>
      <c r="R2193" s="778"/>
      <c r="S2193" s="778"/>
    </row>
    <row r="2194" spans="14:19" ht="27.95" customHeight="1">
      <c r="N2194" s="778"/>
      <c r="O2194" s="778"/>
      <c r="P2194" s="778"/>
      <c r="Q2194" s="778"/>
      <c r="R2194" s="778"/>
      <c r="S2194" s="778"/>
    </row>
    <row r="2195" spans="14:19" ht="27.95" customHeight="1">
      <c r="N2195" s="778"/>
      <c r="O2195" s="778"/>
      <c r="P2195" s="778"/>
      <c r="Q2195" s="778"/>
      <c r="R2195" s="778"/>
      <c r="S2195" s="778"/>
    </row>
    <row r="2196" spans="14:19" ht="27.95" customHeight="1">
      <c r="N2196" s="778"/>
      <c r="O2196" s="778"/>
      <c r="P2196" s="778"/>
      <c r="Q2196" s="778"/>
      <c r="R2196" s="778"/>
      <c r="S2196" s="778"/>
    </row>
    <row r="2197" spans="14:19" ht="27.95" customHeight="1">
      <c r="N2197" s="778"/>
      <c r="O2197" s="778"/>
      <c r="P2197" s="778"/>
      <c r="Q2197" s="778"/>
      <c r="R2197" s="778"/>
      <c r="S2197" s="778"/>
    </row>
    <row r="2198" spans="14:19" ht="27.95" customHeight="1">
      <c r="N2198" s="778"/>
      <c r="O2198" s="778"/>
      <c r="P2198" s="778"/>
      <c r="Q2198" s="778"/>
      <c r="R2198" s="778"/>
      <c r="S2198" s="778"/>
    </row>
    <row r="2199" spans="14:19" ht="27.95" customHeight="1">
      <c r="N2199" s="778"/>
      <c r="O2199" s="778"/>
      <c r="P2199" s="778"/>
      <c r="Q2199" s="778"/>
      <c r="R2199" s="778"/>
      <c r="S2199" s="778"/>
    </row>
    <row r="2200" spans="14:19" ht="27.95" customHeight="1">
      <c r="N2200" s="778"/>
      <c r="O2200" s="778"/>
      <c r="P2200" s="778"/>
      <c r="Q2200" s="778"/>
      <c r="R2200" s="778"/>
      <c r="S2200" s="778"/>
    </row>
    <row r="2201" spans="14:19" ht="27.95" customHeight="1">
      <c r="N2201" s="778"/>
      <c r="O2201" s="778"/>
      <c r="P2201" s="778"/>
      <c r="Q2201" s="778"/>
      <c r="R2201" s="778"/>
      <c r="S2201" s="778"/>
    </row>
    <row r="2202" spans="14:19" ht="27.95" customHeight="1">
      <c r="N2202" s="778"/>
      <c r="O2202" s="778"/>
      <c r="P2202" s="778"/>
      <c r="Q2202" s="778"/>
      <c r="R2202" s="778"/>
      <c r="S2202" s="778"/>
    </row>
    <row r="2203" spans="14:19" ht="27.95" customHeight="1">
      <c r="N2203" s="778"/>
      <c r="O2203" s="778"/>
      <c r="P2203" s="778"/>
      <c r="Q2203" s="778"/>
      <c r="R2203" s="778"/>
      <c r="S2203" s="778"/>
    </row>
    <row r="2204" spans="14:19" ht="27.95" customHeight="1">
      <c r="N2204" s="778"/>
      <c r="O2204" s="778"/>
      <c r="P2204" s="778"/>
      <c r="Q2204" s="778"/>
      <c r="R2204" s="778"/>
      <c r="S2204" s="778"/>
    </row>
    <row r="2205" spans="14:19" ht="27.95" customHeight="1">
      <c r="N2205" s="778"/>
      <c r="O2205" s="778"/>
      <c r="P2205" s="778"/>
      <c r="Q2205" s="778"/>
      <c r="R2205" s="778"/>
      <c r="S2205" s="778"/>
    </row>
    <row r="2206" spans="14:19" ht="27.95" customHeight="1">
      <c r="N2206" s="778"/>
      <c r="O2206" s="778"/>
      <c r="P2206" s="778"/>
      <c r="Q2206" s="778"/>
      <c r="R2206" s="778"/>
      <c r="S2206" s="778"/>
    </row>
    <row r="2207" spans="14:19" ht="27.95" customHeight="1">
      <c r="N2207" s="778"/>
      <c r="O2207" s="778"/>
      <c r="P2207" s="778"/>
      <c r="Q2207" s="778"/>
      <c r="R2207" s="778"/>
      <c r="S2207" s="778"/>
    </row>
    <row r="2208" spans="14:19" ht="27.95" customHeight="1">
      <c r="N2208" s="778"/>
      <c r="O2208" s="778"/>
      <c r="P2208" s="778"/>
      <c r="Q2208" s="778"/>
      <c r="R2208" s="778"/>
      <c r="S2208" s="778"/>
    </row>
    <row r="2209" spans="14:19" ht="27.95" customHeight="1">
      <c r="N2209" s="778"/>
      <c r="O2209" s="778"/>
      <c r="P2209" s="778"/>
      <c r="Q2209" s="778"/>
      <c r="R2209" s="778"/>
      <c r="S2209" s="778"/>
    </row>
    <row r="2210" spans="14:19" ht="27.95" customHeight="1">
      <c r="N2210" s="778"/>
      <c r="O2210" s="778"/>
      <c r="P2210" s="778"/>
      <c r="Q2210" s="778"/>
      <c r="R2210" s="778"/>
      <c r="S2210" s="778"/>
    </row>
    <row r="2211" spans="14:19" ht="27.95" customHeight="1">
      <c r="N2211" s="778"/>
      <c r="O2211" s="778"/>
      <c r="P2211" s="778"/>
      <c r="Q2211" s="778"/>
      <c r="R2211" s="778"/>
      <c r="S2211" s="778"/>
    </row>
    <row r="2212" spans="14:19" ht="27.95" customHeight="1">
      <c r="N2212" s="778"/>
      <c r="O2212" s="778"/>
      <c r="P2212" s="778"/>
      <c r="Q2212" s="778"/>
      <c r="R2212" s="778"/>
      <c r="S2212" s="778"/>
    </row>
    <row r="2213" spans="14:19" ht="27.95" customHeight="1">
      <c r="N2213" s="778"/>
      <c r="O2213" s="778"/>
      <c r="P2213" s="778"/>
      <c r="Q2213" s="778"/>
      <c r="R2213" s="778"/>
      <c r="S2213" s="778"/>
    </row>
    <row r="2214" spans="14:19" ht="27.95" customHeight="1">
      <c r="N2214" s="778"/>
      <c r="O2214" s="778"/>
      <c r="P2214" s="778"/>
      <c r="Q2214" s="778"/>
      <c r="R2214" s="778"/>
      <c r="S2214" s="778"/>
    </row>
    <row r="2215" spans="14:19" ht="27.95" customHeight="1">
      <c r="N2215" s="778"/>
      <c r="O2215" s="778"/>
      <c r="P2215" s="778"/>
      <c r="Q2215" s="778"/>
      <c r="R2215" s="778"/>
      <c r="S2215" s="778"/>
    </row>
    <row r="2216" spans="14:19" ht="27.95" customHeight="1">
      <c r="N2216" s="778"/>
      <c r="O2216" s="778"/>
      <c r="P2216" s="778"/>
      <c r="Q2216" s="778"/>
      <c r="R2216" s="778"/>
      <c r="S2216" s="778"/>
    </row>
    <row r="2217" spans="14:19" ht="27.95" customHeight="1">
      <c r="N2217" s="778"/>
      <c r="O2217" s="778"/>
      <c r="P2217" s="778"/>
      <c r="Q2217" s="778"/>
      <c r="R2217" s="778"/>
      <c r="S2217" s="778"/>
    </row>
    <row r="2218" spans="14:19" ht="27.95" customHeight="1">
      <c r="N2218" s="778"/>
      <c r="O2218" s="778"/>
      <c r="P2218" s="778"/>
      <c r="Q2218" s="778"/>
      <c r="R2218" s="778"/>
      <c r="S2218" s="778"/>
    </row>
    <row r="2219" spans="14:19" ht="27.95" customHeight="1">
      <c r="N2219" s="778"/>
      <c r="O2219" s="778"/>
      <c r="P2219" s="778"/>
      <c r="Q2219" s="778"/>
      <c r="R2219" s="778"/>
      <c r="S2219" s="778"/>
    </row>
    <row r="2220" spans="14:19" ht="27.95" customHeight="1">
      <c r="N2220" s="778"/>
      <c r="O2220" s="778"/>
      <c r="P2220" s="778"/>
      <c r="Q2220" s="778"/>
      <c r="R2220" s="778"/>
      <c r="S2220" s="778"/>
    </row>
    <row r="2221" spans="14:19" ht="27.95" customHeight="1">
      <c r="N2221" s="778"/>
      <c r="O2221" s="778"/>
      <c r="P2221" s="778"/>
      <c r="Q2221" s="778"/>
      <c r="R2221" s="778"/>
      <c r="S2221" s="778"/>
    </row>
    <row r="2222" spans="14:19" ht="27.95" customHeight="1">
      <c r="N2222" s="778"/>
      <c r="O2222" s="778"/>
      <c r="P2222" s="778"/>
      <c r="Q2222" s="778"/>
      <c r="R2222" s="778"/>
      <c r="S2222" s="778"/>
    </row>
    <row r="2223" spans="14:19" ht="27.95" customHeight="1">
      <c r="N2223" s="778"/>
      <c r="O2223" s="778"/>
      <c r="P2223" s="778"/>
      <c r="Q2223" s="778"/>
      <c r="R2223" s="778"/>
      <c r="S2223" s="778"/>
    </row>
    <row r="2224" spans="14:19" ht="27.95" customHeight="1">
      <c r="N2224" s="778"/>
      <c r="O2224" s="778"/>
      <c r="P2224" s="778"/>
      <c r="Q2224" s="778"/>
      <c r="R2224" s="778"/>
      <c r="S2224" s="778"/>
    </row>
    <row r="2225" spans="14:19" ht="27.95" customHeight="1">
      <c r="N2225" s="778"/>
      <c r="O2225" s="778"/>
      <c r="P2225" s="778"/>
      <c r="Q2225" s="778"/>
      <c r="R2225" s="778"/>
      <c r="S2225" s="778"/>
    </row>
    <row r="2226" spans="14:19" ht="27.95" customHeight="1">
      <c r="N2226" s="778"/>
      <c r="O2226" s="778"/>
      <c r="P2226" s="778"/>
      <c r="Q2226" s="778"/>
      <c r="R2226" s="778"/>
      <c r="S2226" s="778"/>
    </row>
    <row r="2227" spans="14:19" ht="27.95" customHeight="1">
      <c r="N2227" s="778"/>
      <c r="O2227" s="778"/>
      <c r="P2227" s="778"/>
      <c r="Q2227" s="778"/>
      <c r="R2227" s="778"/>
      <c r="S2227" s="778"/>
    </row>
    <row r="2228" spans="14:19" ht="27.95" customHeight="1">
      <c r="N2228" s="778"/>
      <c r="O2228" s="778"/>
      <c r="P2228" s="778"/>
      <c r="Q2228" s="778"/>
      <c r="R2228" s="778"/>
      <c r="S2228" s="778"/>
    </row>
    <row r="2229" spans="14:19" ht="27.95" customHeight="1">
      <c r="N2229" s="778"/>
      <c r="O2229" s="778"/>
      <c r="P2229" s="778"/>
      <c r="Q2229" s="778"/>
      <c r="R2229" s="778"/>
      <c r="S2229" s="778"/>
    </row>
    <row r="2230" spans="14:19" ht="27.95" customHeight="1">
      <c r="N2230" s="778"/>
      <c r="O2230" s="778"/>
      <c r="P2230" s="778"/>
      <c r="Q2230" s="778"/>
      <c r="R2230" s="778"/>
      <c r="S2230" s="778"/>
    </row>
    <row r="2231" spans="14:19" ht="27.95" customHeight="1">
      <c r="N2231" s="778"/>
      <c r="O2231" s="778"/>
      <c r="P2231" s="778"/>
      <c r="Q2231" s="778"/>
      <c r="R2231" s="778"/>
      <c r="S2231" s="778"/>
    </row>
    <row r="2232" spans="14:19" ht="27.95" customHeight="1">
      <c r="N2232" s="778"/>
      <c r="O2232" s="778"/>
      <c r="P2232" s="778"/>
      <c r="Q2232" s="778"/>
      <c r="R2232" s="778"/>
      <c r="S2232" s="778"/>
    </row>
    <row r="2233" spans="14:19" ht="27.95" customHeight="1">
      <c r="N2233" s="778"/>
      <c r="O2233" s="778"/>
      <c r="P2233" s="778"/>
      <c r="Q2233" s="778"/>
      <c r="R2233" s="778"/>
      <c r="S2233" s="778"/>
    </row>
    <row r="2234" spans="14:19" ht="27.95" customHeight="1">
      <c r="N2234" s="778"/>
      <c r="O2234" s="778"/>
      <c r="P2234" s="778"/>
      <c r="Q2234" s="778"/>
      <c r="R2234" s="778"/>
      <c r="S2234" s="778"/>
    </row>
    <row r="2235" spans="14:19" ht="27.95" customHeight="1">
      <c r="N2235" s="778"/>
      <c r="O2235" s="778"/>
      <c r="P2235" s="778"/>
      <c r="Q2235" s="778"/>
      <c r="R2235" s="778"/>
      <c r="S2235" s="778"/>
    </row>
    <row r="2236" spans="14:19" ht="27.95" customHeight="1">
      <c r="N2236" s="778"/>
      <c r="O2236" s="778"/>
      <c r="P2236" s="778"/>
      <c r="Q2236" s="778"/>
      <c r="R2236" s="778"/>
      <c r="S2236" s="778"/>
    </row>
    <row r="2237" spans="14:19" ht="27.95" customHeight="1">
      <c r="N2237" s="778"/>
      <c r="O2237" s="778"/>
      <c r="P2237" s="778"/>
      <c r="Q2237" s="778"/>
      <c r="R2237" s="778"/>
      <c r="S2237" s="778"/>
    </row>
  </sheetData>
  <pageMargins left="0.7" right="0.7" top="0.75" bottom="0.75" header="0.3" footer="0.3"/>
  <pageSetup scale="53" orientation="portrait" r:id="rId1"/>
  <headerFooter>
    <oddHeader>&amp;C&amp;"Algerian,Bold"&amp;28CIIDANKA DAB-DEMISKA QARANKA SOMALILAND</oddHeader>
    <oddFooter>&amp;R&amp;"Times New Roman,Bold"25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2"/>
  <sheetViews>
    <sheetView view="pageBreakPreview" topLeftCell="A28" zoomScale="82" zoomScaleSheetLayoutView="82" workbookViewId="0">
      <selection activeCell="R41" sqref="R41"/>
    </sheetView>
  </sheetViews>
  <sheetFormatPr defaultRowHeight="29.1" customHeight="1"/>
  <cols>
    <col min="1" max="1" width="18.33203125" style="773" bestFit="1" customWidth="1"/>
    <col min="2" max="2" width="75.83203125" style="708" customWidth="1"/>
    <col min="3" max="3" width="17.1640625" style="708" hidden="1" customWidth="1"/>
    <col min="4" max="4" width="16.83203125" style="708" hidden="1" customWidth="1"/>
    <col min="5" max="5" width="18" style="708" hidden="1" customWidth="1"/>
    <col min="6" max="6" width="15.6640625" style="708" hidden="1" customWidth="1"/>
    <col min="7" max="7" width="18.83203125" style="708" hidden="1" customWidth="1"/>
    <col min="8" max="8" width="17.5" style="708" hidden="1" customWidth="1"/>
    <col min="9" max="10" width="1.5" style="708" hidden="1" customWidth="1"/>
    <col min="11" max="11" width="2" style="708" hidden="1" customWidth="1"/>
    <col min="12" max="12" width="21.1640625" style="708" hidden="1" customWidth="1"/>
    <col min="13" max="13" width="20.1640625" style="708" hidden="1" customWidth="1"/>
    <col min="14" max="14" width="0.1640625" style="708" hidden="1" customWidth="1"/>
    <col min="15" max="16" width="24.5" style="708" hidden="1" customWidth="1"/>
    <col min="17" max="18" width="26.6640625" style="708" customWidth="1"/>
    <col min="19" max="19" width="25.5" style="708" customWidth="1"/>
    <col min="20" max="20" width="13.83203125" style="708" customWidth="1"/>
    <col min="21" max="16384" width="9.33203125" style="708"/>
  </cols>
  <sheetData>
    <row r="1" spans="1:19" ht="29.1" customHeight="1">
      <c r="A1" s="769" t="s">
        <v>39</v>
      </c>
      <c r="B1" s="625" t="s">
        <v>1266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</row>
    <row r="2" spans="1:19" ht="29.1" customHeight="1">
      <c r="A2" s="769" t="s">
        <v>25</v>
      </c>
      <c r="B2" s="625" t="s">
        <v>25</v>
      </c>
      <c r="C2" s="630" t="s">
        <v>26</v>
      </c>
      <c r="D2" s="630" t="s">
        <v>2</v>
      </c>
      <c r="E2" s="630" t="s">
        <v>43</v>
      </c>
      <c r="F2" s="630" t="s">
        <v>46</v>
      </c>
      <c r="G2" s="630" t="s">
        <v>55</v>
      </c>
      <c r="H2" s="630" t="s">
        <v>62</v>
      </c>
      <c r="I2" s="630" t="s">
        <v>103</v>
      </c>
      <c r="J2" s="630" t="s">
        <v>107</v>
      </c>
      <c r="K2" s="630" t="s">
        <v>115</v>
      </c>
      <c r="L2" s="630" t="s">
        <v>151</v>
      </c>
      <c r="M2" s="630" t="s">
        <v>259</v>
      </c>
      <c r="N2" s="630" t="s">
        <v>814</v>
      </c>
      <c r="O2" s="630" t="s">
        <v>874</v>
      </c>
      <c r="P2" s="630" t="s">
        <v>973</v>
      </c>
      <c r="Q2" s="630" t="s">
        <v>1160</v>
      </c>
      <c r="R2" s="630" t="s">
        <v>1320</v>
      </c>
      <c r="S2" s="630" t="s">
        <v>56</v>
      </c>
    </row>
    <row r="3" spans="1:19" ht="29.1" customHeight="1">
      <c r="A3" s="770">
        <v>2110</v>
      </c>
      <c r="B3" s="726" t="s">
        <v>27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</row>
    <row r="4" spans="1:19" ht="29.1" customHeight="1">
      <c r="A4" s="771">
        <v>21101</v>
      </c>
      <c r="B4" s="307" t="s">
        <v>28</v>
      </c>
      <c r="C4" s="307">
        <v>1157000</v>
      </c>
      <c r="D4" s="307">
        <v>0</v>
      </c>
      <c r="E4" s="307">
        <v>0</v>
      </c>
      <c r="F4" s="307">
        <v>0</v>
      </c>
      <c r="G4" s="307">
        <v>0</v>
      </c>
      <c r="H4" s="307">
        <v>0</v>
      </c>
      <c r="I4" s="307">
        <v>0</v>
      </c>
      <c r="J4" s="307">
        <v>0</v>
      </c>
      <c r="K4" s="307">
        <v>73429200</v>
      </c>
      <c r="L4" s="307">
        <f>73429200+16598400</f>
        <v>90027600</v>
      </c>
      <c r="M4" s="307">
        <f>shaqaalaha2011!H42+3600000</f>
        <v>186276000</v>
      </c>
      <c r="N4" s="307">
        <v>189103200</v>
      </c>
      <c r="O4" s="307">
        <v>229170240</v>
      </c>
      <c r="P4" s="307"/>
      <c r="Q4" s="307">
        <v>235984320</v>
      </c>
      <c r="R4" s="83">
        <v>299860704</v>
      </c>
      <c r="S4" s="307">
        <f>R4-Q4</f>
        <v>63876384</v>
      </c>
    </row>
    <row r="5" spans="1:19" ht="29.1" customHeight="1">
      <c r="A5" s="771">
        <v>21102</v>
      </c>
      <c r="B5" s="307" t="s">
        <v>29</v>
      </c>
      <c r="C5" s="307">
        <v>10800000</v>
      </c>
      <c r="D5" s="307">
        <v>8400000</v>
      </c>
      <c r="E5" s="307">
        <v>8400000</v>
      </c>
      <c r="F5" s="307">
        <v>8400000</v>
      </c>
      <c r="G5" s="307">
        <v>26088000</v>
      </c>
      <c r="H5" s="307">
        <v>26088000</v>
      </c>
      <c r="I5" s="307">
        <v>26088000</v>
      </c>
      <c r="J5" s="307">
        <v>26088000</v>
      </c>
      <c r="K5" s="307">
        <v>0</v>
      </c>
      <c r="L5" s="307">
        <v>0</v>
      </c>
      <c r="M5" s="307">
        <v>0</v>
      </c>
      <c r="N5" s="307">
        <v>54000000</v>
      </c>
      <c r="O5" s="307">
        <v>114000000</v>
      </c>
      <c r="P5" s="307"/>
      <c r="Q5" s="723">
        <v>114000000</v>
      </c>
      <c r="R5" s="874">
        <v>114000000</v>
      </c>
      <c r="S5" s="307">
        <f t="shared" ref="S5:S41" si="0">R5-Q5</f>
        <v>0</v>
      </c>
    </row>
    <row r="6" spans="1:19" ht="29.1" customHeight="1">
      <c r="A6" s="771">
        <v>21103</v>
      </c>
      <c r="B6" s="307" t="s">
        <v>565</v>
      </c>
      <c r="C6" s="307"/>
      <c r="D6" s="307"/>
      <c r="E6" s="307"/>
      <c r="F6" s="307"/>
      <c r="G6" s="307"/>
      <c r="H6" s="307"/>
      <c r="I6" s="307"/>
      <c r="J6" s="307">
        <v>0</v>
      </c>
      <c r="K6" s="307">
        <v>26088000</v>
      </c>
      <c r="L6" s="307">
        <f>26088000+2400000</f>
        <v>28488000</v>
      </c>
      <c r="M6" s="307">
        <f>26088000+2400000</f>
        <v>28488000</v>
      </c>
      <c r="N6" s="307">
        <v>57600000</v>
      </c>
      <c r="O6" s="307">
        <v>108000000</v>
      </c>
      <c r="P6" s="307"/>
      <c r="Q6" s="723">
        <v>126000000</v>
      </c>
      <c r="R6" s="874">
        <v>126000000</v>
      </c>
      <c r="S6" s="307">
        <f t="shared" si="0"/>
        <v>0</v>
      </c>
    </row>
    <row r="7" spans="1:19" ht="29.1" customHeight="1">
      <c r="A7" s="771">
        <v>21105</v>
      </c>
      <c r="B7" s="307" t="s">
        <v>465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>
        <v>36000000</v>
      </c>
      <c r="N7" s="307">
        <f>M7</f>
        <v>36000000</v>
      </c>
      <c r="O7" s="307">
        <f>N7</f>
        <v>36000000</v>
      </c>
      <c r="P7" s="307"/>
      <c r="Q7" s="307">
        <v>18000000</v>
      </c>
      <c r="R7" s="83">
        <v>18000000</v>
      </c>
      <c r="S7" s="307">
        <f t="shared" si="0"/>
        <v>0</v>
      </c>
    </row>
    <row r="8" spans="1:19" ht="29.1" customHeight="1">
      <c r="A8" s="770">
        <v>2120</v>
      </c>
      <c r="B8" s="308" t="s">
        <v>5</v>
      </c>
      <c r="C8" s="307">
        <v>0</v>
      </c>
      <c r="D8" s="307">
        <v>0</v>
      </c>
      <c r="E8" s="307">
        <v>0</v>
      </c>
      <c r="F8" s="307">
        <v>0</v>
      </c>
      <c r="G8" s="307">
        <v>0</v>
      </c>
      <c r="H8" s="307">
        <v>0</v>
      </c>
      <c r="I8" s="307">
        <v>0</v>
      </c>
      <c r="J8" s="307">
        <v>0</v>
      </c>
      <c r="K8" s="308">
        <f>SUM(K4:K6)</f>
        <v>99517200</v>
      </c>
      <c r="L8" s="308">
        <f>SUM(L4:L6)</f>
        <v>118515600</v>
      </c>
      <c r="M8" s="308">
        <f>M7+M6+M5+M4</f>
        <v>250764000</v>
      </c>
      <c r="N8" s="308">
        <f>SUM(N4:N7)</f>
        <v>336703200</v>
      </c>
      <c r="O8" s="308">
        <f>SUM(O4:O7)</f>
        <v>487170240</v>
      </c>
      <c r="P8" s="308"/>
      <c r="Q8" s="308">
        <f>SUM(Q4:Q7)</f>
        <v>493984320</v>
      </c>
      <c r="R8" s="306">
        <f>SUM(R4:R7)</f>
        <v>557860704</v>
      </c>
      <c r="S8" s="308">
        <f t="shared" si="0"/>
        <v>63876384</v>
      </c>
    </row>
    <row r="9" spans="1:19" s="772" customFormat="1" ht="29.1" customHeight="1">
      <c r="A9" s="771">
        <v>220</v>
      </c>
      <c r="B9" s="308" t="s">
        <v>384</v>
      </c>
      <c r="C9" s="308">
        <f t="shared" ref="C9:J9" si="1">SUM(C4:C8)</f>
        <v>11957000</v>
      </c>
      <c r="D9" s="308">
        <f t="shared" si="1"/>
        <v>8400000</v>
      </c>
      <c r="E9" s="308">
        <f t="shared" si="1"/>
        <v>8400000</v>
      </c>
      <c r="F9" s="308">
        <f t="shared" si="1"/>
        <v>8400000</v>
      </c>
      <c r="G9" s="308">
        <f t="shared" si="1"/>
        <v>26088000</v>
      </c>
      <c r="H9" s="308">
        <f t="shared" si="1"/>
        <v>26088000</v>
      </c>
      <c r="I9" s="308">
        <f t="shared" si="1"/>
        <v>26088000</v>
      </c>
      <c r="J9" s="308">
        <f t="shared" si="1"/>
        <v>26088000</v>
      </c>
      <c r="K9" s="308"/>
      <c r="L9" s="308"/>
      <c r="M9" s="308"/>
      <c r="N9" s="308" t="s">
        <v>4</v>
      </c>
      <c r="O9" s="308" t="s">
        <v>4</v>
      </c>
      <c r="P9" s="308"/>
      <c r="Q9" s="308"/>
      <c r="R9" s="306"/>
      <c r="S9" s="307">
        <f t="shared" si="0"/>
        <v>0</v>
      </c>
    </row>
    <row r="10" spans="1:19" s="772" customFormat="1" ht="29.1" customHeight="1">
      <c r="A10" s="771">
        <v>2210</v>
      </c>
      <c r="B10" s="308" t="s">
        <v>385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6"/>
      <c r="S10" s="307">
        <f t="shared" si="0"/>
        <v>0</v>
      </c>
    </row>
    <row r="11" spans="1:19" ht="29.1" customHeight="1">
      <c r="A11" s="771">
        <v>22101</v>
      </c>
      <c r="B11" s="307" t="s">
        <v>159</v>
      </c>
      <c r="C11" s="307"/>
      <c r="D11" s="307"/>
      <c r="E11" s="307"/>
      <c r="F11" s="307"/>
      <c r="G11" s="307"/>
      <c r="H11" s="307"/>
      <c r="I11" s="307"/>
      <c r="J11" s="307"/>
      <c r="K11" s="307">
        <v>14896000</v>
      </c>
      <c r="L11" s="307">
        <v>14896000</v>
      </c>
      <c r="M11" s="307">
        <f>14896000*70%</f>
        <v>10427200</v>
      </c>
      <c r="N11" s="307">
        <v>0</v>
      </c>
      <c r="O11" s="307">
        <v>0</v>
      </c>
      <c r="P11" s="307"/>
      <c r="Q11" s="307">
        <v>15000000</v>
      </c>
      <c r="R11" s="83">
        <v>30000000</v>
      </c>
      <c r="S11" s="307">
        <f t="shared" si="0"/>
        <v>15000000</v>
      </c>
    </row>
    <row r="12" spans="1:19" ht="29.1" customHeight="1">
      <c r="A12" s="771">
        <v>22102</v>
      </c>
      <c r="B12" s="307" t="s">
        <v>124</v>
      </c>
      <c r="C12" s="307">
        <v>0</v>
      </c>
      <c r="D12" s="307">
        <v>0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7">
        <v>0</v>
      </c>
      <c r="N12" s="307">
        <v>0</v>
      </c>
      <c r="O12" s="307">
        <v>0</v>
      </c>
      <c r="P12" s="307"/>
      <c r="Q12" s="307"/>
      <c r="R12" s="83"/>
      <c r="S12" s="307">
        <f t="shared" si="0"/>
        <v>0</v>
      </c>
    </row>
    <row r="13" spans="1:19" ht="29.1" customHeight="1">
      <c r="A13" s="771">
        <v>22103</v>
      </c>
      <c r="B13" s="307" t="s">
        <v>158</v>
      </c>
      <c r="C13" s="307">
        <v>35246000</v>
      </c>
      <c r="D13" s="307">
        <v>23700000</v>
      </c>
      <c r="E13" s="307">
        <v>23700000</v>
      </c>
      <c r="F13" s="307">
        <v>23700000</v>
      </c>
      <c r="G13" s="307">
        <v>35985600</v>
      </c>
      <c r="H13" s="307">
        <v>44982000</v>
      </c>
      <c r="I13" s="307">
        <v>44982000</v>
      </c>
      <c r="J13" s="307">
        <v>62000000</v>
      </c>
      <c r="K13" s="307">
        <v>0</v>
      </c>
      <c r="L13" s="307">
        <v>0</v>
      </c>
      <c r="M13" s="307">
        <v>0</v>
      </c>
      <c r="N13" s="307">
        <v>0</v>
      </c>
      <c r="O13" s="307">
        <v>0</v>
      </c>
      <c r="P13" s="307"/>
      <c r="Q13" s="307"/>
      <c r="R13" s="83">
        <v>20000000</v>
      </c>
      <c r="S13" s="307">
        <f t="shared" si="0"/>
        <v>20000000</v>
      </c>
    </row>
    <row r="14" spans="1:19" ht="29.1" customHeight="1">
      <c r="A14" s="771">
        <v>22104</v>
      </c>
      <c r="B14" s="307" t="s">
        <v>157</v>
      </c>
      <c r="C14" s="307">
        <v>6388200</v>
      </c>
      <c r="D14" s="307">
        <v>4411000</v>
      </c>
      <c r="E14" s="307">
        <v>4411000</v>
      </c>
      <c r="F14" s="307">
        <v>4411000</v>
      </c>
      <c r="G14" s="307">
        <v>14400000</v>
      </c>
      <c r="H14" s="307">
        <v>18000000</v>
      </c>
      <c r="I14" s="307">
        <v>13406400</v>
      </c>
      <c r="J14" s="307">
        <v>13406400</v>
      </c>
      <c r="K14" s="307">
        <v>10427200</v>
      </c>
      <c r="L14" s="307">
        <v>16025200</v>
      </c>
      <c r="M14" s="307">
        <v>11217640</v>
      </c>
      <c r="N14" s="307">
        <v>7000000</v>
      </c>
      <c r="O14" s="307">
        <v>17000000</v>
      </c>
      <c r="P14" s="307"/>
      <c r="Q14" s="307">
        <v>13500000</v>
      </c>
      <c r="R14" s="83">
        <v>13500000</v>
      </c>
      <c r="S14" s="307">
        <f t="shared" si="0"/>
        <v>0</v>
      </c>
    </row>
    <row r="15" spans="1:19" ht="29.1" customHeight="1">
      <c r="A15" s="771">
        <v>22105</v>
      </c>
      <c r="B15" s="307" t="s">
        <v>161</v>
      </c>
      <c r="C15" s="307">
        <v>0</v>
      </c>
      <c r="D15" s="307">
        <v>4000000</v>
      </c>
      <c r="E15" s="307">
        <v>4000000</v>
      </c>
      <c r="F15" s="307">
        <v>4000000</v>
      </c>
      <c r="G15" s="307">
        <v>5600000</v>
      </c>
      <c r="H15" s="307">
        <v>7000000</v>
      </c>
      <c r="I15" s="307">
        <v>5213600</v>
      </c>
      <c r="J15" s="307">
        <v>5213600</v>
      </c>
      <c r="K15" s="307">
        <v>0</v>
      </c>
      <c r="L15" s="307">
        <v>0</v>
      </c>
      <c r="M15" s="307">
        <v>0</v>
      </c>
      <c r="N15" s="307">
        <v>0</v>
      </c>
      <c r="O15" s="307">
        <v>0</v>
      </c>
      <c r="P15" s="307"/>
      <c r="Q15" s="307"/>
      <c r="R15" s="83"/>
      <c r="S15" s="307">
        <f t="shared" si="0"/>
        <v>0</v>
      </c>
    </row>
    <row r="16" spans="1:19" ht="29.1" customHeight="1">
      <c r="A16" s="771">
        <v>22106</v>
      </c>
      <c r="B16" s="307" t="s">
        <v>126</v>
      </c>
      <c r="C16" s="307"/>
      <c r="D16" s="307"/>
      <c r="E16" s="307"/>
      <c r="F16" s="307"/>
      <c r="G16" s="307"/>
      <c r="H16" s="307"/>
      <c r="I16" s="307"/>
      <c r="J16" s="307"/>
      <c r="K16" s="307">
        <v>18620000</v>
      </c>
      <c r="L16" s="307">
        <v>20620000</v>
      </c>
      <c r="M16" s="307">
        <f>20620000*70%</f>
        <v>14434000</v>
      </c>
      <c r="N16" s="307">
        <v>0</v>
      </c>
      <c r="O16" s="307">
        <v>0</v>
      </c>
      <c r="P16" s="307"/>
      <c r="Q16" s="307"/>
      <c r="R16" s="83">
        <v>15000000</v>
      </c>
      <c r="S16" s="307">
        <f t="shared" si="0"/>
        <v>15000000</v>
      </c>
    </row>
    <row r="17" spans="1:19" ht="29.1" customHeight="1">
      <c r="A17" s="771">
        <v>22107</v>
      </c>
      <c r="B17" s="307" t="s">
        <v>156</v>
      </c>
      <c r="C17" s="307">
        <v>0</v>
      </c>
      <c r="D17" s="307">
        <v>0</v>
      </c>
      <c r="E17" s="626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7000000</v>
      </c>
      <c r="K17" s="307">
        <v>4468800</v>
      </c>
      <c r="L17" s="307">
        <v>7468800</v>
      </c>
      <c r="M17" s="307">
        <f>L17*70%</f>
        <v>5228160</v>
      </c>
      <c r="N17" s="307">
        <v>0</v>
      </c>
      <c r="O17" s="307">
        <v>0</v>
      </c>
      <c r="P17" s="307"/>
      <c r="Q17" s="307">
        <v>10000000</v>
      </c>
      <c r="R17" s="83">
        <v>10000000</v>
      </c>
      <c r="S17" s="307">
        <f t="shared" si="0"/>
        <v>0</v>
      </c>
    </row>
    <row r="18" spans="1:19" s="772" customFormat="1" ht="29.1" customHeight="1">
      <c r="A18" s="771">
        <v>22109</v>
      </c>
      <c r="B18" s="307" t="s">
        <v>155</v>
      </c>
      <c r="C18" s="308">
        <f>SUM(C12:C17)</f>
        <v>41634200</v>
      </c>
      <c r="D18" s="308">
        <f>SUM(D12:D17)</f>
        <v>32111000</v>
      </c>
      <c r="E18" s="308">
        <f>SUM(E12:E15)</f>
        <v>32111000</v>
      </c>
      <c r="F18" s="308">
        <f>SUM(F12:F17)</f>
        <v>32111000</v>
      </c>
      <c r="G18" s="308">
        <f>SUM(G12:G17)</f>
        <v>55985600</v>
      </c>
      <c r="H18" s="308">
        <f>SUM(H12:H17)</f>
        <v>69982000</v>
      </c>
      <c r="I18" s="308">
        <f>SUM(I12:I17)</f>
        <v>63602000</v>
      </c>
      <c r="J18" s="308">
        <f>SUM(J12:J17)</f>
        <v>87620000</v>
      </c>
      <c r="K18" s="307">
        <v>1489600</v>
      </c>
      <c r="L18" s="307">
        <v>1489600</v>
      </c>
      <c r="M18" s="307">
        <v>1489600</v>
      </c>
      <c r="N18" s="307">
        <v>0</v>
      </c>
      <c r="O18" s="307">
        <v>0</v>
      </c>
      <c r="P18" s="307"/>
      <c r="Q18" s="307"/>
      <c r="R18" s="83">
        <v>6000000</v>
      </c>
      <c r="S18" s="307">
        <f t="shared" si="0"/>
        <v>6000000</v>
      </c>
    </row>
    <row r="19" spans="1:19" s="772" customFormat="1" ht="29.1" customHeight="1">
      <c r="A19" s="771">
        <v>22112</v>
      </c>
      <c r="B19" s="307" t="s">
        <v>165</v>
      </c>
      <c r="C19" s="308"/>
      <c r="D19" s="308"/>
      <c r="E19" s="308"/>
      <c r="F19" s="308"/>
      <c r="G19" s="308"/>
      <c r="H19" s="308"/>
      <c r="I19" s="308"/>
      <c r="J19" s="308"/>
      <c r="K19" s="307">
        <v>5958400</v>
      </c>
      <c r="L19" s="307">
        <v>7958400</v>
      </c>
      <c r="M19" s="307">
        <f>L19*70%</f>
        <v>5570880</v>
      </c>
      <c r="N19" s="307">
        <v>5000000</v>
      </c>
      <c r="O19" s="307">
        <v>13000000</v>
      </c>
      <c r="P19" s="307"/>
      <c r="Q19" s="307"/>
      <c r="R19" s="83">
        <v>13000000</v>
      </c>
      <c r="S19" s="307">
        <f t="shared" si="0"/>
        <v>13000000</v>
      </c>
    </row>
    <row r="20" spans="1:19" ht="29.1" customHeight="1">
      <c r="A20" s="771">
        <v>22118</v>
      </c>
      <c r="B20" s="307" t="s">
        <v>164</v>
      </c>
      <c r="C20" s="307"/>
      <c r="D20" s="307"/>
      <c r="E20" s="307"/>
      <c r="F20" s="307"/>
      <c r="G20" s="307"/>
      <c r="H20" s="307"/>
      <c r="I20" s="307"/>
      <c r="J20" s="307"/>
      <c r="K20" s="307">
        <v>44688000</v>
      </c>
      <c r="L20" s="307">
        <v>100000000</v>
      </c>
      <c r="M20" s="307">
        <f>100000000*70%</f>
        <v>70000000</v>
      </c>
      <c r="N20" s="307">
        <v>10000000</v>
      </c>
      <c r="O20" s="307">
        <v>110000000</v>
      </c>
      <c r="P20" s="307">
        <v>220815000</v>
      </c>
      <c r="Q20" s="307">
        <v>100000000</v>
      </c>
      <c r="R20" s="83">
        <v>140000000</v>
      </c>
      <c r="S20" s="307">
        <f t="shared" si="0"/>
        <v>40000000</v>
      </c>
    </row>
    <row r="21" spans="1:19" ht="29.1" customHeight="1">
      <c r="A21" s="771">
        <v>22129</v>
      </c>
      <c r="B21" s="307" t="s">
        <v>162</v>
      </c>
      <c r="C21" s="307">
        <v>0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/>
      <c r="Q21" s="307"/>
      <c r="R21" s="83"/>
      <c r="S21" s="307">
        <f t="shared" si="0"/>
        <v>0</v>
      </c>
    </row>
    <row r="22" spans="1:19" ht="29.1" customHeight="1">
      <c r="A22" s="771">
        <v>22137</v>
      </c>
      <c r="B22" s="307" t="s">
        <v>163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0</v>
      </c>
      <c r="O22" s="307">
        <v>0</v>
      </c>
      <c r="P22" s="307"/>
      <c r="Q22" s="307">
        <v>30000000</v>
      </c>
      <c r="R22" s="83">
        <v>100000000</v>
      </c>
      <c r="S22" s="307">
        <f t="shared" si="0"/>
        <v>70000000</v>
      </c>
    </row>
    <row r="23" spans="1:19" ht="29.1" customHeight="1">
      <c r="A23" s="771"/>
      <c r="B23" s="308" t="s">
        <v>5</v>
      </c>
      <c r="C23" s="307"/>
      <c r="D23" s="307"/>
      <c r="E23" s="307"/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8">
        <f t="shared" ref="K23:O23" si="2">SUM(K11:K22)</f>
        <v>100548000</v>
      </c>
      <c r="L23" s="308">
        <f t="shared" si="2"/>
        <v>168458000</v>
      </c>
      <c r="M23" s="308">
        <f t="shared" si="2"/>
        <v>118367480</v>
      </c>
      <c r="N23" s="308">
        <f t="shared" si="2"/>
        <v>22000000</v>
      </c>
      <c r="O23" s="308">
        <f t="shared" si="2"/>
        <v>140000000</v>
      </c>
      <c r="P23" s="308">
        <f>SUM(P20:P22)</f>
        <v>220815000</v>
      </c>
      <c r="Q23" s="308">
        <f>SUM(Q11:Q22)</f>
        <v>168500000</v>
      </c>
      <c r="R23" s="306">
        <f>SUM(R11:R22)</f>
        <v>347500000</v>
      </c>
      <c r="S23" s="308">
        <f t="shared" si="0"/>
        <v>179000000</v>
      </c>
    </row>
    <row r="24" spans="1:19" s="772" customFormat="1" ht="29.1" customHeight="1">
      <c r="A24" s="770">
        <v>2220</v>
      </c>
      <c r="B24" s="308" t="s">
        <v>131</v>
      </c>
      <c r="C24" s="308">
        <f>SUM(C21:C22)</f>
        <v>0</v>
      </c>
      <c r="D24" s="308">
        <f>SUM(D21:D22)</f>
        <v>0</v>
      </c>
      <c r="E24" s="308">
        <f>SUM(E21:E22)</f>
        <v>0</v>
      </c>
      <c r="F24" s="308">
        <v>0</v>
      </c>
      <c r="G24" s="308">
        <f>SUM(G21:G23)</f>
        <v>0</v>
      </c>
      <c r="H24" s="308">
        <f>SUM(H21:H23)</f>
        <v>0</v>
      </c>
      <c r="I24" s="308">
        <v>0</v>
      </c>
      <c r="J24" s="308">
        <v>0</v>
      </c>
      <c r="K24" s="308"/>
      <c r="L24" s="308"/>
      <c r="M24" s="308"/>
      <c r="N24" s="308"/>
      <c r="O24" s="308"/>
      <c r="P24" s="308"/>
      <c r="Q24" s="308"/>
      <c r="R24" s="306"/>
      <c r="S24" s="307">
        <f t="shared" si="0"/>
        <v>0</v>
      </c>
    </row>
    <row r="25" spans="1:19" ht="29.1" customHeight="1">
      <c r="A25" s="771">
        <v>22201</v>
      </c>
      <c r="B25" s="307" t="s">
        <v>132</v>
      </c>
      <c r="C25" s="307"/>
      <c r="D25" s="307"/>
      <c r="E25" s="307"/>
      <c r="F25" s="307"/>
      <c r="G25" s="307"/>
      <c r="H25" s="307"/>
      <c r="I25" s="307"/>
      <c r="J25" s="307"/>
      <c r="K25" s="307">
        <v>0</v>
      </c>
      <c r="L25" s="307">
        <v>0</v>
      </c>
      <c r="M25" s="307">
        <v>0</v>
      </c>
      <c r="N25" s="307">
        <v>0</v>
      </c>
      <c r="O25" s="307">
        <v>0</v>
      </c>
      <c r="P25" s="307"/>
      <c r="Q25" s="307"/>
      <c r="R25" s="83"/>
      <c r="S25" s="307">
        <f t="shared" si="0"/>
        <v>0</v>
      </c>
    </row>
    <row r="26" spans="1:19" ht="29.1" customHeight="1">
      <c r="A26" s="771">
        <v>22202</v>
      </c>
      <c r="B26" s="307" t="s">
        <v>133</v>
      </c>
      <c r="C26" s="307">
        <v>2475000</v>
      </c>
      <c r="D26" s="307">
        <v>4000000</v>
      </c>
      <c r="E26" s="307">
        <v>4000000</v>
      </c>
      <c r="F26" s="307">
        <v>7000000</v>
      </c>
      <c r="G26" s="307">
        <v>12000000</v>
      </c>
      <c r="H26" s="307">
        <v>15000000</v>
      </c>
      <c r="I26" s="307">
        <v>14896000</v>
      </c>
      <c r="J26" s="307">
        <v>38000000</v>
      </c>
      <c r="K26" s="307">
        <v>44982000</v>
      </c>
      <c r="L26" s="307">
        <v>120000000</v>
      </c>
      <c r="M26" s="307">
        <f>L26*70%</f>
        <v>84000000</v>
      </c>
      <c r="N26" s="307">
        <v>70000000</v>
      </c>
      <c r="O26" s="307">
        <v>120000000</v>
      </c>
      <c r="P26" s="307"/>
      <c r="Q26" s="307">
        <v>96000000</v>
      </c>
      <c r="R26" s="83">
        <v>96000000</v>
      </c>
      <c r="S26" s="307">
        <f t="shared" si="0"/>
        <v>0</v>
      </c>
    </row>
    <row r="27" spans="1:19" ht="29.1" customHeight="1">
      <c r="A27" s="771">
        <v>22203</v>
      </c>
      <c r="B27" s="307" t="s">
        <v>127</v>
      </c>
      <c r="C27" s="307">
        <v>990000</v>
      </c>
      <c r="D27" s="307">
        <v>3000000</v>
      </c>
      <c r="E27" s="307">
        <v>3000000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13406400</v>
      </c>
      <c r="L27" s="307">
        <v>13406400</v>
      </c>
      <c r="M27" s="307">
        <f>L27*70%</f>
        <v>9384480</v>
      </c>
      <c r="N27" s="307">
        <f>M27</f>
        <v>9384480</v>
      </c>
      <c r="O27" s="307">
        <f>N27</f>
        <v>9384480</v>
      </c>
      <c r="P27" s="307"/>
      <c r="Q27" s="307">
        <v>16800000</v>
      </c>
      <c r="R27" s="83">
        <v>16800000</v>
      </c>
      <c r="S27" s="307">
        <f t="shared" si="0"/>
        <v>0</v>
      </c>
    </row>
    <row r="28" spans="1:19" ht="29.1" customHeight="1">
      <c r="A28" s="771">
        <v>22204</v>
      </c>
      <c r="B28" s="307" t="s">
        <v>128</v>
      </c>
      <c r="C28" s="307">
        <v>0</v>
      </c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K28" s="307">
        <v>5213600</v>
      </c>
      <c r="L28" s="307">
        <v>5213600</v>
      </c>
      <c r="M28" s="307">
        <f>5213600*70%</f>
        <v>3649520</v>
      </c>
      <c r="N28" s="307">
        <v>0</v>
      </c>
      <c r="O28" s="307">
        <v>0</v>
      </c>
      <c r="P28" s="307"/>
      <c r="Q28" s="307"/>
      <c r="R28" s="83"/>
      <c r="S28" s="307">
        <f t="shared" si="0"/>
        <v>0</v>
      </c>
    </row>
    <row r="29" spans="1:19" ht="29.1" customHeight="1">
      <c r="A29" s="771"/>
      <c r="B29" s="308" t="s">
        <v>92</v>
      </c>
      <c r="C29" s="307">
        <v>0</v>
      </c>
      <c r="D29" s="307">
        <v>0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08">
        <f t="shared" ref="K29:O29" si="3">SUM(K25:K28)</f>
        <v>63602000</v>
      </c>
      <c r="L29" s="308">
        <f t="shared" si="3"/>
        <v>138620000</v>
      </c>
      <c r="M29" s="308">
        <f t="shared" si="3"/>
        <v>97034000</v>
      </c>
      <c r="N29" s="308">
        <f t="shared" si="3"/>
        <v>79384480</v>
      </c>
      <c r="O29" s="308">
        <f t="shared" si="3"/>
        <v>129384480</v>
      </c>
      <c r="P29" s="308"/>
      <c r="Q29" s="308">
        <f>SUM(Q26:Q28)</f>
        <v>112800000</v>
      </c>
      <c r="R29" s="306">
        <f>SUM(R26:R28)</f>
        <v>112800000</v>
      </c>
      <c r="S29" s="308">
        <f t="shared" si="0"/>
        <v>0</v>
      </c>
    </row>
    <row r="30" spans="1:19" ht="29.1" customHeight="1">
      <c r="A30" s="770">
        <v>2230</v>
      </c>
      <c r="B30" s="308" t="s">
        <v>130</v>
      </c>
      <c r="C30" s="307">
        <v>8000000</v>
      </c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307"/>
      <c r="L30" s="307"/>
      <c r="M30" s="307"/>
      <c r="N30" s="307"/>
      <c r="O30" s="307"/>
      <c r="P30" s="307"/>
      <c r="Q30" s="307"/>
      <c r="R30" s="83"/>
      <c r="S30" s="307">
        <f t="shared" si="0"/>
        <v>0</v>
      </c>
    </row>
    <row r="31" spans="1:19" ht="29.1" customHeight="1">
      <c r="A31" s="771">
        <v>22301</v>
      </c>
      <c r="B31" s="307" t="s">
        <v>150</v>
      </c>
      <c r="C31" s="307">
        <v>0</v>
      </c>
      <c r="D31" s="307">
        <v>0</v>
      </c>
      <c r="E31" s="307">
        <v>0</v>
      </c>
      <c r="F31" s="307">
        <v>0</v>
      </c>
      <c r="G31" s="307">
        <v>20000000</v>
      </c>
      <c r="H31" s="307">
        <v>25000000</v>
      </c>
      <c r="I31" s="307">
        <v>18620000</v>
      </c>
      <c r="J31" s="307">
        <v>18620000</v>
      </c>
      <c r="K31" s="307">
        <v>14896000</v>
      </c>
      <c r="L31" s="307">
        <v>18526072</v>
      </c>
      <c r="M31" s="307">
        <f>L31*70%</f>
        <v>12968250.399999999</v>
      </c>
      <c r="N31" s="307">
        <v>17968250</v>
      </c>
      <c r="O31" s="307">
        <v>37968250</v>
      </c>
      <c r="P31" s="307"/>
      <c r="Q31" s="307">
        <v>50000000</v>
      </c>
      <c r="R31" s="83">
        <v>50000000</v>
      </c>
      <c r="S31" s="307">
        <f t="shared" si="0"/>
        <v>0</v>
      </c>
    </row>
    <row r="32" spans="1:19" ht="29.1" customHeight="1">
      <c r="A32" s="771">
        <v>22302</v>
      </c>
      <c r="B32" s="307" t="s">
        <v>152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0</v>
      </c>
      <c r="O32" s="307">
        <v>0</v>
      </c>
      <c r="P32" s="307"/>
      <c r="Q32" s="307">
        <v>17500000</v>
      </c>
      <c r="R32" s="83">
        <v>17500000</v>
      </c>
      <c r="S32" s="307">
        <f t="shared" si="0"/>
        <v>0</v>
      </c>
    </row>
    <row r="33" spans="1:19" ht="29.1" customHeight="1">
      <c r="A33" s="771"/>
      <c r="B33" s="308" t="s">
        <v>5</v>
      </c>
      <c r="C33" s="307">
        <v>0</v>
      </c>
      <c r="D33" s="307"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308">
        <f t="shared" ref="K33:N33" si="4">SUM(K31:K32)</f>
        <v>14896000</v>
      </c>
      <c r="L33" s="308">
        <f t="shared" si="4"/>
        <v>18526072</v>
      </c>
      <c r="M33" s="308">
        <f t="shared" si="4"/>
        <v>12968250.399999999</v>
      </c>
      <c r="N33" s="308">
        <f t="shared" si="4"/>
        <v>17968250</v>
      </c>
      <c r="O33" s="308">
        <f>SUM(O31:O32)</f>
        <v>37968250</v>
      </c>
      <c r="P33" s="308"/>
      <c r="Q33" s="308">
        <f>SUM(Q31:Q32)</f>
        <v>67500000</v>
      </c>
      <c r="R33" s="306">
        <f>SUM(R31:R32)</f>
        <v>67500000</v>
      </c>
      <c r="S33" s="308">
        <f t="shared" si="0"/>
        <v>0</v>
      </c>
    </row>
    <row r="34" spans="1:19" ht="29.1" customHeight="1">
      <c r="A34" s="770">
        <v>270</v>
      </c>
      <c r="B34" s="308" t="s">
        <v>386</v>
      </c>
      <c r="C34" s="307">
        <v>0</v>
      </c>
      <c r="D34" s="307">
        <v>0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  <c r="J34" s="307">
        <v>0</v>
      </c>
      <c r="K34" s="307"/>
      <c r="L34" s="307"/>
      <c r="M34" s="307"/>
      <c r="N34" s="307"/>
      <c r="O34" s="307"/>
      <c r="P34" s="307"/>
      <c r="Q34" s="307"/>
      <c r="R34" s="83"/>
      <c r="S34" s="307">
        <f t="shared" si="0"/>
        <v>0</v>
      </c>
    </row>
    <row r="35" spans="1:19" ht="29.1" customHeight="1">
      <c r="A35" s="770">
        <v>2710</v>
      </c>
      <c r="B35" s="308" t="s">
        <v>387</v>
      </c>
      <c r="C35" s="307">
        <v>0</v>
      </c>
      <c r="D35" s="307">
        <v>0</v>
      </c>
      <c r="E35" s="307">
        <v>0</v>
      </c>
      <c r="F35" s="307">
        <v>0</v>
      </c>
      <c r="G35" s="307">
        <v>0</v>
      </c>
      <c r="H35" s="307">
        <v>0</v>
      </c>
      <c r="I35" s="307">
        <v>0</v>
      </c>
      <c r="J35" s="307">
        <v>0</v>
      </c>
      <c r="K35" s="307"/>
      <c r="L35" s="307"/>
      <c r="M35" s="307"/>
      <c r="N35" s="307"/>
      <c r="O35" s="307"/>
      <c r="P35" s="307"/>
      <c r="Q35" s="307"/>
      <c r="R35" s="83"/>
      <c r="S35" s="307">
        <f t="shared" si="0"/>
        <v>0</v>
      </c>
    </row>
    <row r="36" spans="1:19" s="772" customFormat="1" ht="29.1" customHeight="1">
      <c r="A36" s="771">
        <v>27601</v>
      </c>
      <c r="B36" s="307" t="s">
        <v>146</v>
      </c>
      <c r="C36" s="308">
        <f t="shared" ref="C36:J36" si="5">SUM(C26:C35)</f>
        <v>11465000</v>
      </c>
      <c r="D36" s="308">
        <f t="shared" si="5"/>
        <v>7000000</v>
      </c>
      <c r="E36" s="308">
        <f t="shared" si="5"/>
        <v>7000000</v>
      </c>
      <c r="F36" s="308">
        <f t="shared" si="5"/>
        <v>7000000</v>
      </c>
      <c r="G36" s="308">
        <f t="shared" si="5"/>
        <v>32000000</v>
      </c>
      <c r="H36" s="308">
        <f t="shared" si="5"/>
        <v>40000000</v>
      </c>
      <c r="I36" s="308">
        <f t="shared" si="5"/>
        <v>33516000</v>
      </c>
      <c r="J36" s="308">
        <f t="shared" si="5"/>
        <v>56620000</v>
      </c>
      <c r="K36" s="308">
        <v>0</v>
      </c>
      <c r="L36" s="308">
        <v>0</v>
      </c>
      <c r="M36" s="308">
        <v>0</v>
      </c>
      <c r="N36" s="308">
        <v>0</v>
      </c>
      <c r="O36" s="308">
        <v>0</v>
      </c>
      <c r="P36" s="308"/>
      <c r="Q36" s="308"/>
      <c r="R36" s="306"/>
      <c r="S36" s="307">
        <f t="shared" si="0"/>
        <v>0</v>
      </c>
    </row>
    <row r="37" spans="1:19" ht="29.1" customHeight="1">
      <c r="A37" s="771">
        <v>27402</v>
      </c>
      <c r="B37" s="307" t="s">
        <v>147</v>
      </c>
      <c r="C37" s="307"/>
      <c r="D37" s="307"/>
      <c r="E37" s="307"/>
      <c r="F37" s="307"/>
      <c r="G37" s="307"/>
      <c r="H37" s="307"/>
      <c r="I37" s="307"/>
      <c r="J37" s="307"/>
      <c r="K37" s="307">
        <v>0</v>
      </c>
      <c r="L37" s="307">
        <v>0</v>
      </c>
      <c r="M37" s="307">
        <v>0</v>
      </c>
      <c r="N37" s="307">
        <v>0</v>
      </c>
      <c r="O37" s="307">
        <v>42000000</v>
      </c>
      <c r="P37" s="307"/>
      <c r="Q37" s="307"/>
      <c r="R37" s="83"/>
      <c r="S37" s="307">
        <f t="shared" si="0"/>
        <v>0</v>
      </c>
    </row>
    <row r="38" spans="1:19" ht="29.1" customHeight="1">
      <c r="A38" s="771">
        <v>27502</v>
      </c>
      <c r="B38" s="307" t="s">
        <v>148</v>
      </c>
      <c r="C38" s="307">
        <v>9789800</v>
      </c>
      <c r="D38" s="307">
        <v>10000000</v>
      </c>
      <c r="E38" s="307">
        <v>10000000</v>
      </c>
      <c r="F38" s="307">
        <v>10000000</v>
      </c>
      <c r="G38" s="307">
        <v>16000000</v>
      </c>
      <c r="H38" s="307">
        <v>20000000</v>
      </c>
      <c r="I38" s="307">
        <v>14896000</v>
      </c>
      <c r="J38" s="307">
        <v>14896000</v>
      </c>
      <c r="K38" s="307">
        <v>0</v>
      </c>
      <c r="L38" s="307">
        <v>0</v>
      </c>
      <c r="M38" s="307">
        <v>0</v>
      </c>
      <c r="N38" s="307">
        <v>0</v>
      </c>
      <c r="O38" s="307">
        <v>0</v>
      </c>
      <c r="P38" s="307"/>
      <c r="Q38" s="307"/>
      <c r="R38" s="83"/>
      <c r="S38" s="307">
        <f t="shared" si="0"/>
        <v>0</v>
      </c>
    </row>
    <row r="39" spans="1:19" ht="29.1" customHeight="1">
      <c r="A39" s="771">
        <v>27604</v>
      </c>
      <c r="B39" s="307" t="s">
        <v>149</v>
      </c>
      <c r="C39" s="307">
        <v>0</v>
      </c>
      <c r="D39" s="307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07">
        <v>0</v>
      </c>
      <c r="N39" s="307">
        <v>0</v>
      </c>
      <c r="O39" s="307">
        <v>0</v>
      </c>
      <c r="P39" s="307"/>
      <c r="Q39" s="307"/>
      <c r="R39" s="83"/>
      <c r="S39" s="307">
        <f t="shared" si="0"/>
        <v>0</v>
      </c>
    </row>
    <row r="40" spans="1:19" ht="29.1" customHeight="1">
      <c r="A40" s="770"/>
      <c r="B40" s="308" t="s">
        <v>92</v>
      </c>
      <c r="C40" s="307">
        <v>1650000</v>
      </c>
      <c r="D40" s="307">
        <v>2520200</v>
      </c>
      <c r="E40" s="307">
        <v>2520200</v>
      </c>
      <c r="F40" s="307">
        <f>2520200+2520200</f>
        <v>5040400</v>
      </c>
      <c r="G40" s="307">
        <v>9216000</v>
      </c>
      <c r="H40" s="307">
        <v>11520000</v>
      </c>
      <c r="I40" s="307">
        <v>10427200</v>
      </c>
      <c r="J40" s="307">
        <v>10427200</v>
      </c>
      <c r="K40" s="308">
        <f t="shared" ref="K40:O40" si="6">SUM(K36:K39)</f>
        <v>0</v>
      </c>
      <c r="L40" s="308">
        <f t="shared" si="6"/>
        <v>0</v>
      </c>
      <c r="M40" s="308">
        <f t="shared" si="6"/>
        <v>0</v>
      </c>
      <c r="N40" s="308">
        <f t="shared" si="6"/>
        <v>0</v>
      </c>
      <c r="O40" s="308">
        <f t="shared" si="6"/>
        <v>42000000</v>
      </c>
      <c r="P40" s="308"/>
      <c r="Q40" s="308"/>
      <c r="R40" s="306"/>
      <c r="S40" s="307">
        <f t="shared" si="0"/>
        <v>0</v>
      </c>
    </row>
    <row r="41" spans="1:19" ht="29.1" customHeight="1">
      <c r="A41" s="771"/>
      <c r="B41" s="308" t="s">
        <v>37</v>
      </c>
      <c r="C41" s="307">
        <v>0</v>
      </c>
      <c r="D41" s="307">
        <v>0</v>
      </c>
      <c r="E41" s="307">
        <v>0</v>
      </c>
      <c r="F41" s="307">
        <v>0</v>
      </c>
      <c r="G41" s="307">
        <v>0</v>
      </c>
      <c r="H41" s="307">
        <v>0</v>
      </c>
      <c r="I41" s="307">
        <v>1489600</v>
      </c>
      <c r="J41" s="307">
        <v>1489600</v>
      </c>
      <c r="K41" s="308" t="e">
        <f>#REF!+K29+K23+K8</f>
        <v>#REF!</v>
      </c>
      <c r="L41" s="308" t="e">
        <f>#REF!+L29+L23+L8</f>
        <v>#REF!</v>
      </c>
      <c r="M41" s="308" t="e">
        <f>#REF!+M29+M23+M8</f>
        <v>#REF!</v>
      </c>
      <c r="N41" s="308" t="e">
        <f>#REF!+N29+N23+N8+N40</f>
        <v>#REF!</v>
      </c>
      <c r="O41" s="308">
        <f>O40+O33+O29+O23+O8</f>
        <v>836522970</v>
      </c>
      <c r="P41" s="308">
        <f>P40+P33+P29+P23+P8</f>
        <v>220815000</v>
      </c>
      <c r="Q41" s="308">
        <f>Q40+Q33+Q29+Q23+Q8</f>
        <v>842784320</v>
      </c>
      <c r="R41" s="306">
        <f>R40+R33+R29+R23+R8</f>
        <v>1085660704</v>
      </c>
      <c r="S41" s="308">
        <f t="shared" si="0"/>
        <v>242876384</v>
      </c>
    </row>
    <row r="42" spans="1:19" ht="29.1" customHeight="1">
      <c r="G42" s="774" t="s">
        <v>4</v>
      </c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</row>
    <row r="43" spans="1:19" ht="29.1" customHeight="1">
      <c r="F43" s="774" t="s">
        <v>4</v>
      </c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</row>
    <row r="44" spans="1:19" ht="29.1" customHeight="1">
      <c r="N44" s="774"/>
      <c r="O44" s="774"/>
      <c r="P44" s="774"/>
      <c r="Q44" s="774"/>
      <c r="R44" s="774"/>
      <c r="S44" s="774"/>
    </row>
    <row r="45" spans="1:19" ht="29.1" customHeight="1">
      <c r="F45" s="708">
        <f>1386274192-71600000-798000-176160000-12600000</f>
        <v>1125116192</v>
      </c>
      <c r="N45" s="774"/>
      <c r="O45" s="774"/>
      <c r="P45" s="774"/>
      <c r="Q45" s="774"/>
      <c r="R45" s="774"/>
      <c r="S45" s="774"/>
    </row>
    <row r="46" spans="1:19" ht="29.1" customHeight="1">
      <c r="N46" s="774"/>
      <c r="O46" s="774"/>
      <c r="P46" s="774"/>
      <c r="Q46" s="774"/>
      <c r="R46" s="774"/>
      <c r="S46" s="774"/>
    </row>
    <row r="47" spans="1:19" ht="29.1" customHeight="1">
      <c r="N47" s="774"/>
      <c r="O47" s="774"/>
      <c r="P47" s="774"/>
      <c r="Q47" s="774"/>
      <c r="R47" s="774"/>
      <c r="S47" s="774"/>
    </row>
    <row r="48" spans="1:19" ht="29.1" customHeight="1">
      <c r="N48" s="774"/>
      <c r="O48" s="774"/>
      <c r="P48" s="774"/>
      <c r="Q48" s="774"/>
      <c r="R48" s="774"/>
      <c r="S48" s="774"/>
    </row>
    <row r="49" spans="14:19" ht="29.1" customHeight="1">
      <c r="N49" s="774"/>
      <c r="O49" s="774"/>
      <c r="P49" s="774"/>
      <c r="Q49" s="774"/>
      <c r="R49" s="774"/>
      <c r="S49" s="774"/>
    </row>
    <row r="50" spans="14:19" ht="29.1" customHeight="1">
      <c r="N50" s="774"/>
      <c r="O50" s="774"/>
      <c r="P50" s="774"/>
      <c r="Q50" s="774"/>
      <c r="R50" s="774"/>
      <c r="S50" s="774"/>
    </row>
    <row r="51" spans="14:19" ht="29.1" customHeight="1">
      <c r="N51" s="774"/>
      <c r="O51" s="774"/>
      <c r="P51" s="774"/>
      <c r="Q51" s="774"/>
      <c r="R51" s="774"/>
      <c r="S51" s="774"/>
    </row>
    <row r="52" spans="14:19" ht="29.1" customHeight="1">
      <c r="N52" s="774"/>
      <c r="O52" s="774"/>
      <c r="P52" s="774"/>
      <c r="Q52" s="774"/>
      <c r="R52" s="774"/>
      <c r="S52" s="774"/>
    </row>
    <row r="53" spans="14:19" ht="29.1" customHeight="1">
      <c r="N53" s="774"/>
      <c r="O53" s="774"/>
      <c r="P53" s="774"/>
      <c r="Q53" s="774"/>
      <c r="R53" s="774"/>
      <c r="S53" s="774"/>
    </row>
    <row r="54" spans="14:19" ht="29.1" customHeight="1">
      <c r="N54" s="774"/>
      <c r="O54" s="774"/>
      <c r="P54" s="774"/>
      <c r="Q54" s="774"/>
      <c r="R54" s="774"/>
      <c r="S54" s="774"/>
    </row>
    <row r="55" spans="14:19" ht="29.1" customHeight="1">
      <c r="N55" s="774"/>
      <c r="O55" s="774"/>
      <c r="P55" s="774"/>
      <c r="Q55" s="774"/>
      <c r="R55" s="774"/>
      <c r="S55" s="774"/>
    </row>
    <row r="56" spans="14:19" ht="29.1" customHeight="1">
      <c r="N56" s="774"/>
      <c r="O56" s="774"/>
      <c r="P56" s="774"/>
      <c r="Q56" s="774"/>
      <c r="R56" s="774"/>
      <c r="S56" s="774"/>
    </row>
    <row r="57" spans="14:19" ht="29.1" customHeight="1">
      <c r="N57" s="774"/>
      <c r="O57" s="774"/>
      <c r="P57" s="774"/>
      <c r="Q57" s="774"/>
      <c r="R57" s="774"/>
      <c r="S57" s="774"/>
    </row>
    <row r="58" spans="14:19" ht="29.1" customHeight="1">
      <c r="N58" s="774"/>
      <c r="O58" s="774"/>
      <c r="P58" s="774"/>
      <c r="Q58" s="774"/>
      <c r="R58" s="774"/>
      <c r="S58" s="774"/>
    </row>
    <row r="59" spans="14:19" ht="29.1" customHeight="1">
      <c r="N59" s="774"/>
      <c r="O59" s="774"/>
      <c r="P59" s="774"/>
      <c r="Q59" s="774"/>
      <c r="R59" s="774"/>
      <c r="S59" s="774"/>
    </row>
    <row r="60" spans="14:19" ht="29.1" customHeight="1">
      <c r="N60" s="774"/>
      <c r="O60" s="774"/>
      <c r="P60" s="774"/>
      <c r="Q60" s="774"/>
      <c r="R60" s="774"/>
      <c r="S60" s="774"/>
    </row>
    <row r="61" spans="14:19" ht="29.1" customHeight="1">
      <c r="N61" s="774"/>
      <c r="O61" s="774"/>
      <c r="P61" s="774"/>
      <c r="Q61" s="774"/>
      <c r="R61" s="774"/>
      <c r="S61" s="774"/>
    </row>
    <row r="62" spans="14:19" ht="29.1" customHeight="1">
      <c r="N62" s="774"/>
      <c r="O62" s="774"/>
      <c r="P62" s="774"/>
      <c r="Q62" s="774"/>
      <c r="R62" s="774"/>
      <c r="S62" s="774"/>
    </row>
    <row r="63" spans="14:19" ht="29.1" customHeight="1">
      <c r="N63" s="774"/>
      <c r="O63" s="774"/>
      <c r="P63" s="774"/>
      <c r="Q63" s="774"/>
      <c r="R63" s="774"/>
      <c r="S63" s="774"/>
    </row>
    <row r="64" spans="14:19" ht="29.1" customHeight="1">
      <c r="N64" s="774"/>
      <c r="O64" s="774"/>
      <c r="P64" s="774"/>
      <c r="Q64" s="774"/>
      <c r="R64" s="774"/>
      <c r="S64" s="774"/>
    </row>
    <row r="65" spans="14:19" ht="29.1" customHeight="1">
      <c r="N65" s="774"/>
      <c r="O65" s="774"/>
      <c r="P65" s="774"/>
      <c r="Q65" s="774"/>
      <c r="R65" s="774"/>
      <c r="S65" s="774"/>
    </row>
    <row r="66" spans="14:19" ht="29.1" customHeight="1">
      <c r="N66" s="774"/>
      <c r="O66" s="774"/>
      <c r="P66" s="774"/>
      <c r="Q66" s="774"/>
      <c r="R66" s="774"/>
      <c r="S66" s="774"/>
    </row>
    <row r="67" spans="14:19" ht="29.1" customHeight="1">
      <c r="N67" s="774"/>
      <c r="O67" s="774"/>
      <c r="P67" s="774"/>
      <c r="Q67" s="774"/>
      <c r="R67" s="774"/>
      <c r="S67" s="774"/>
    </row>
    <row r="68" spans="14:19" ht="29.1" customHeight="1">
      <c r="N68" s="774"/>
      <c r="O68" s="774"/>
      <c r="P68" s="774"/>
      <c r="Q68" s="774"/>
      <c r="R68" s="774"/>
      <c r="S68" s="774"/>
    </row>
    <row r="69" spans="14:19" ht="29.1" customHeight="1">
      <c r="N69" s="774"/>
      <c r="O69" s="774"/>
      <c r="P69" s="774"/>
      <c r="Q69" s="774"/>
      <c r="R69" s="774"/>
      <c r="S69" s="774"/>
    </row>
    <row r="70" spans="14:19" ht="29.1" customHeight="1">
      <c r="N70" s="774"/>
      <c r="O70" s="774"/>
      <c r="P70" s="774"/>
      <c r="Q70" s="774"/>
      <c r="R70" s="774"/>
      <c r="S70" s="774"/>
    </row>
    <row r="71" spans="14:19" ht="29.1" customHeight="1">
      <c r="N71" s="774"/>
      <c r="O71" s="774"/>
      <c r="P71" s="774"/>
      <c r="Q71" s="774"/>
      <c r="R71" s="774"/>
      <c r="S71" s="774"/>
    </row>
    <row r="72" spans="14:19" ht="29.1" customHeight="1">
      <c r="N72" s="774"/>
      <c r="O72" s="774"/>
      <c r="P72" s="774"/>
      <c r="Q72" s="774"/>
      <c r="R72" s="774"/>
      <c r="S72" s="774"/>
    </row>
    <row r="73" spans="14:19" ht="29.1" customHeight="1">
      <c r="N73" s="774"/>
      <c r="O73" s="774"/>
      <c r="P73" s="774"/>
      <c r="Q73" s="774"/>
      <c r="R73" s="774"/>
      <c r="S73" s="774"/>
    </row>
    <row r="74" spans="14:19" ht="29.1" customHeight="1">
      <c r="N74" s="774"/>
      <c r="O74" s="774"/>
      <c r="P74" s="774"/>
      <c r="Q74" s="774"/>
      <c r="R74" s="774"/>
      <c r="S74" s="774"/>
    </row>
    <row r="75" spans="14:19" ht="29.1" customHeight="1">
      <c r="N75" s="774"/>
      <c r="O75" s="774"/>
      <c r="P75" s="774"/>
      <c r="Q75" s="774"/>
      <c r="R75" s="774"/>
      <c r="S75" s="774"/>
    </row>
    <row r="76" spans="14:19" ht="29.1" customHeight="1">
      <c r="N76" s="774"/>
      <c r="O76" s="774"/>
      <c r="P76" s="774"/>
      <c r="Q76" s="774"/>
      <c r="R76" s="774"/>
      <c r="S76" s="774"/>
    </row>
    <row r="77" spans="14:19" ht="29.1" customHeight="1">
      <c r="N77" s="774"/>
      <c r="O77" s="774"/>
      <c r="P77" s="774"/>
      <c r="Q77" s="774"/>
      <c r="R77" s="774"/>
      <c r="S77" s="774"/>
    </row>
    <row r="78" spans="14:19" ht="29.1" customHeight="1">
      <c r="N78" s="774"/>
      <c r="O78" s="774"/>
      <c r="P78" s="774"/>
      <c r="Q78" s="774"/>
      <c r="R78" s="774"/>
      <c r="S78" s="774"/>
    </row>
    <row r="79" spans="14:19" ht="29.1" customHeight="1">
      <c r="N79" s="774"/>
      <c r="O79" s="774"/>
      <c r="P79" s="774"/>
      <c r="Q79" s="774"/>
      <c r="R79" s="774"/>
      <c r="S79" s="774"/>
    </row>
    <row r="80" spans="14:19" ht="29.1" customHeight="1">
      <c r="N80" s="774"/>
      <c r="O80" s="774"/>
      <c r="P80" s="774"/>
      <c r="Q80" s="774"/>
      <c r="R80" s="774"/>
      <c r="S80" s="774"/>
    </row>
    <row r="81" spans="14:19" ht="29.1" customHeight="1">
      <c r="N81" s="774"/>
      <c r="O81" s="774"/>
      <c r="P81" s="774"/>
      <c r="Q81" s="774"/>
      <c r="R81" s="774"/>
      <c r="S81" s="774"/>
    </row>
    <row r="82" spans="14:19" ht="29.1" customHeight="1">
      <c r="N82" s="774"/>
      <c r="O82" s="774"/>
      <c r="P82" s="774"/>
      <c r="Q82" s="774"/>
      <c r="R82" s="774"/>
      <c r="S82" s="774"/>
    </row>
    <row r="83" spans="14:19" ht="29.1" customHeight="1">
      <c r="N83" s="774"/>
      <c r="O83" s="774"/>
      <c r="P83" s="774"/>
      <c r="Q83" s="774"/>
      <c r="R83" s="774"/>
      <c r="S83" s="774"/>
    </row>
    <row r="84" spans="14:19" ht="29.1" customHeight="1">
      <c r="N84" s="774"/>
      <c r="O84" s="774"/>
      <c r="P84" s="774"/>
      <c r="Q84" s="774"/>
      <c r="R84" s="774"/>
      <c r="S84" s="774"/>
    </row>
    <row r="85" spans="14:19" ht="29.1" customHeight="1">
      <c r="N85" s="774"/>
      <c r="O85" s="774"/>
      <c r="P85" s="774"/>
      <c r="Q85" s="774"/>
      <c r="R85" s="774"/>
      <c r="S85" s="774"/>
    </row>
    <row r="86" spans="14:19" ht="29.1" customHeight="1">
      <c r="N86" s="774"/>
      <c r="O86" s="774"/>
      <c r="P86" s="774"/>
      <c r="Q86" s="774"/>
      <c r="R86" s="774"/>
      <c r="S86" s="774"/>
    </row>
    <row r="87" spans="14:19" ht="29.1" customHeight="1">
      <c r="N87" s="774"/>
      <c r="O87" s="774"/>
      <c r="P87" s="774"/>
      <c r="Q87" s="774"/>
      <c r="R87" s="774"/>
      <c r="S87" s="774"/>
    </row>
    <row r="88" spans="14:19" ht="29.1" customHeight="1">
      <c r="N88" s="774"/>
      <c r="O88" s="774"/>
      <c r="P88" s="774"/>
      <c r="Q88" s="774"/>
      <c r="R88" s="774"/>
      <c r="S88" s="774"/>
    </row>
    <row r="89" spans="14:19" ht="29.1" customHeight="1">
      <c r="N89" s="774"/>
      <c r="O89" s="774"/>
      <c r="P89" s="774"/>
      <c r="Q89" s="774"/>
      <c r="R89" s="774"/>
      <c r="S89" s="774"/>
    </row>
    <row r="90" spans="14:19" ht="29.1" customHeight="1">
      <c r="N90" s="774"/>
      <c r="O90" s="774"/>
      <c r="P90" s="774"/>
      <c r="Q90" s="774"/>
      <c r="R90" s="774"/>
      <c r="S90" s="774"/>
    </row>
    <row r="91" spans="14:19" ht="29.1" customHeight="1">
      <c r="N91" s="774"/>
      <c r="O91" s="774"/>
      <c r="P91" s="774"/>
      <c r="Q91" s="774"/>
      <c r="R91" s="774"/>
      <c r="S91" s="774"/>
    </row>
    <row r="92" spans="14:19" ht="29.1" customHeight="1">
      <c r="N92" s="774"/>
      <c r="O92" s="774"/>
      <c r="P92" s="774"/>
      <c r="Q92" s="774"/>
      <c r="R92" s="774"/>
      <c r="S92" s="774"/>
    </row>
    <row r="93" spans="14:19" ht="29.1" customHeight="1">
      <c r="N93" s="774"/>
      <c r="O93" s="774"/>
      <c r="P93" s="774"/>
      <c r="Q93" s="774"/>
      <c r="R93" s="774"/>
      <c r="S93" s="774"/>
    </row>
    <row r="94" spans="14:19" ht="29.1" customHeight="1">
      <c r="N94" s="774"/>
      <c r="O94" s="774"/>
      <c r="P94" s="774"/>
      <c r="Q94" s="774"/>
      <c r="R94" s="774"/>
      <c r="S94" s="774"/>
    </row>
    <row r="95" spans="14:19" ht="29.1" customHeight="1">
      <c r="N95" s="774"/>
      <c r="O95" s="774"/>
      <c r="P95" s="774"/>
      <c r="Q95" s="774"/>
      <c r="R95" s="774"/>
      <c r="S95" s="774"/>
    </row>
    <row r="96" spans="14:19" ht="29.1" customHeight="1">
      <c r="N96" s="774"/>
      <c r="O96" s="774"/>
      <c r="P96" s="774"/>
      <c r="Q96" s="774"/>
      <c r="R96" s="774"/>
      <c r="S96" s="774"/>
    </row>
    <row r="97" spans="14:19" ht="29.1" customHeight="1">
      <c r="N97" s="774"/>
      <c r="O97" s="774"/>
      <c r="P97" s="774"/>
      <c r="Q97" s="774"/>
      <c r="R97" s="774"/>
      <c r="S97" s="774"/>
    </row>
    <row r="98" spans="14:19" ht="29.1" customHeight="1">
      <c r="N98" s="774"/>
      <c r="O98" s="774"/>
      <c r="P98" s="774"/>
      <c r="Q98" s="774"/>
      <c r="R98" s="774"/>
      <c r="S98" s="774"/>
    </row>
    <row r="99" spans="14:19" ht="29.1" customHeight="1">
      <c r="N99" s="774"/>
      <c r="O99" s="774"/>
      <c r="P99" s="774"/>
      <c r="Q99" s="774"/>
      <c r="R99" s="774"/>
      <c r="S99" s="774"/>
    </row>
    <row r="100" spans="14:19" ht="29.1" customHeight="1">
      <c r="N100" s="774"/>
      <c r="O100" s="774"/>
      <c r="P100" s="774"/>
      <c r="Q100" s="774"/>
      <c r="R100" s="774"/>
      <c r="S100" s="774"/>
    </row>
    <row r="101" spans="14:19" ht="29.1" customHeight="1">
      <c r="N101" s="774"/>
      <c r="O101" s="774"/>
      <c r="P101" s="774"/>
      <c r="Q101" s="774"/>
      <c r="R101" s="774"/>
      <c r="S101" s="774"/>
    </row>
    <row r="102" spans="14:19" ht="29.1" customHeight="1">
      <c r="N102" s="774"/>
      <c r="O102" s="774"/>
      <c r="P102" s="774"/>
      <c r="Q102" s="774"/>
      <c r="R102" s="774"/>
      <c r="S102" s="774"/>
    </row>
    <row r="103" spans="14:19" ht="29.1" customHeight="1">
      <c r="N103" s="774"/>
      <c r="O103" s="774"/>
      <c r="P103" s="774"/>
      <c r="Q103" s="774"/>
      <c r="R103" s="774"/>
      <c r="S103" s="774"/>
    </row>
    <row r="104" spans="14:19" ht="29.1" customHeight="1">
      <c r="N104" s="774"/>
      <c r="O104" s="774"/>
      <c r="P104" s="774"/>
      <c r="Q104" s="774"/>
      <c r="R104" s="774"/>
      <c r="S104" s="774"/>
    </row>
    <row r="105" spans="14:19" ht="29.1" customHeight="1">
      <c r="N105" s="774"/>
      <c r="O105" s="774"/>
      <c r="P105" s="774"/>
      <c r="Q105" s="774"/>
      <c r="R105" s="774"/>
      <c r="S105" s="774"/>
    </row>
    <row r="106" spans="14:19" ht="29.1" customHeight="1">
      <c r="N106" s="774"/>
      <c r="O106" s="774"/>
      <c r="P106" s="774"/>
      <c r="Q106" s="774"/>
      <c r="R106" s="774"/>
      <c r="S106" s="774"/>
    </row>
    <row r="107" spans="14:19" ht="29.1" customHeight="1">
      <c r="N107" s="774"/>
      <c r="O107" s="774"/>
      <c r="P107" s="774"/>
      <c r="Q107" s="774"/>
      <c r="R107" s="774"/>
      <c r="S107" s="774"/>
    </row>
    <row r="108" spans="14:19" ht="29.1" customHeight="1">
      <c r="N108" s="774"/>
      <c r="O108" s="774"/>
      <c r="P108" s="774"/>
      <c r="Q108" s="774"/>
      <c r="R108" s="774"/>
      <c r="S108" s="774"/>
    </row>
    <row r="109" spans="14:19" ht="29.1" customHeight="1">
      <c r="N109" s="774"/>
      <c r="O109" s="774"/>
      <c r="P109" s="774"/>
      <c r="Q109" s="774"/>
      <c r="R109" s="774"/>
      <c r="S109" s="774"/>
    </row>
    <row r="110" spans="14:19" ht="29.1" customHeight="1">
      <c r="N110" s="774"/>
      <c r="O110" s="774"/>
      <c r="P110" s="774"/>
      <c r="Q110" s="774"/>
      <c r="R110" s="774"/>
      <c r="S110" s="774"/>
    </row>
    <row r="111" spans="14:19" ht="29.1" customHeight="1">
      <c r="N111" s="774"/>
      <c r="O111" s="774"/>
      <c r="P111" s="774"/>
      <c r="Q111" s="774"/>
      <c r="R111" s="774"/>
      <c r="S111" s="774"/>
    </row>
    <row r="112" spans="14:19" ht="29.1" customHeight="1">
      <c r="N112" s="774"/>
      <c r="O112" s="774"/>
      <c r="P112" s="774"/>
      <c r="Q112" s="774"/>
      <c r="R112" s="774"/>
      <c r="S112" s="774"/>
    </row>
    <row r="113" spans="14:19" ht="29.1" customHeight="1">
      <c r="N113" s="774"/>
      <c r="O113" s="774"/>
      <c r="P113" s="774"/>
      <c r="Q113" s="774"/>
      <c r="R113" s="774"/>
      <c r="S113" s="774"/>
    </row>
    <row r="114" spans="14:19" ht="29.1" customHeight="1">
      <c r="N114" s="774"/>
      <c r="O114" s="774"/>
      <c r="P114" s="774"/>
      <c r="Q114" s="774"/>
      <c r="R114" s="774"/>
      <c r="S114" s="774"/>
    </row>
    <row r="115" spans="14:19" ht="29.1" customHeight="1">
      <c r="N115" s="774"/>
      <c r="O115" s="774"/>
      <c r="P115" s="774"/>
      <c r="Q115" s="774"/>
      <c r="R115" s="774"/>
      <c r="S115" s="774"/>
    </row>
    <row r="116" spans="14:19" ht="29.1" customHeight="1">
      <c r="N116" s="774"/>
      <c r="O116" s="774"/>
      <c r="P116" s="774"/>
      <c r="Q116" s="774"/>
      <c r="R116" s="774"/>
      <c r="S116" s="774"/>
    </row>
    <row r="117" spans="14:19" ht="29.1" customHeight="1">
      <c r="N117" s="774"/>
      <c r="O117" s="774"/>
      <c r="P117" s="774"/>
      <c r="Q117" s="774"/>
      <c r="R117" s="774"/>
      <c r="S117" s="774"/>
    </row>
    <row r="118" spans="14:19" ht="29.1" customHeight="1">
      <c r="N118" s="774"/>
      <c r="O118" s="774"/>
      <c r="P118" s="774"/>
      <c r="Q118" s="774"/>
      <c r="R118" s="774"/>
      <c r="S118" s="774"/>
    </row>
    <row r="119" spans="14:19" ht="29.1" customHeight="1">
      <c r="N119" s="774"/>
      <c r="O119" s="774"/>
      <c r="P119" s="774"/>
      <c r="Q119" s="774"/>
      <c r="R119" s="774"/>
      <c r="S119" s="774"/>
    </row>
    <row r="120" spans="14:19" ht="29.1" customHeight="1">
      <c r="N120" s="774"/>
      <c r="O120" s="774"/>
      <c r="P120" s="774"/>
      <c r="Q120" s="774"/>
      <c r="R120" s="774"/>
      <c r="S120" s="774"/>
    </row>
    <row r="121" spans="14:19" ht="29.1" customHeight="1">
      <c r="N121" s="774"/>
      <c r="O121" s="774"/>
      <c r="P121" s="774"/>
      <c r="Q121" s="774"/>
      <c r="R121" s="774"/>
      <c r="S121" s="774"/>
    </row>
    <row r="122" spans="14:19" ht="29.1" customHeight="1">
      <c r="N122" s="774"/>
      <c r="O122" s="774"/>
      <c r="P122" s="774"/>
      <c r="Q122" s="774"/>
      <c r="R122" s="774"/>
      <c r="S122" s="774"/>
    </row>
    <row r="123" spans="14:19" ht="29.1" customHeight="1">
      <c r="N123" s="774"/>
      <c r="O123" s="774"/>
      <c r="P123" s="774"/>
      <c r="Q123" s="774"/>
      <c r="R123" s="774"/>
      <c r="S123" s="774"/>
    </row>
    <row r="124" spans="14:19" ht="29.1" customHeight="1">
      <c r="N124" s="774"/>
      <c r="O124" s="774"/>
      <c r="P124" s="774"/>
      <c r="Q124" s="774"/>
      <c r="R124" s="774"/>
      <c r="S124" s="774"/>
    </row>
    <row r="125" spans="14:19" ht="29.1" customHeight="1">
      <c r="N125" s="774"/>
      <c r="O125" s="774"/>
      <c r="P125" s="774"/>
      <c r="Q125" s="774"/>
      <c r="R125" s="774"/>
      <c r="S125" s="774"/>
    </row>
    <row r="126" spans="14:19" ht="29.1" customHeight="1">
      <c r="N126" s="774"/>
      <c r="O126" s="774"/>
      <c r="P126" s="774"/>
      <c r="Q126" s="774"/>
      <c r="R126" s="774"/>
      <c r="S126" s="774"/>
    </row>
    <row r="127" spans="14:19" ht="29.1" customHeight="1">
      <c r="N127" s="774"/>
      <c r="O127" s="774"/>
      <c r="P127" s="774"/>
      <c r="Q127" s="774"/>
      <c r="R127" s="774"/>
      <c r="S127" s="774"/>
    </row>
    <row r="128" spans="14:19" ht="29.1" customHeight="1">
      <c r="N128" s="774"/>
      <c r="O128" s="774"/>
      <c r="P128" s="774"/>
      <c r="Q128" s="774"/>
      <c r="R128" s="774"/>
      <c r="S128" s="774"/>
    </row>
    <row r="129" spans="14:19" ht="29.1" customHeight="1">
      <c r="N129" s="774"/>
      <c r="O129" s="774"/>
      <c r="P129" s="774"/>
      <c r="Q129" s="774"/>
      <c r="R129" s="774"/>
      <c r="S129" s="774"/>
    </row>
    <row r="130" spans="14:19" ht="29.1" customHeight="1">
      <c r="N130" s="774"/>
      <c r="O130" s="774"/>
      <c r="P130" s="774"/>
      <c r="Q130" s="774"/>
      <c r="R130" s="774"/>
      <c r="S130" s="774"/>
    </row>
    <row r="131" spans="14:19" ht="29.1" customHeight="1">
      <c r="N131" s="774"/>
      <c r="O131" s="774"/>
      <c r="P131" s="774"/>
      <c r="Q131" s="774"/>
      <c r="R131" s="774"/>
      <c r="S131" s="774"/>
    </row>
    <row r="132" spans="14:19" ht="29.1" customHeight="1">
      <c r="N132" s="774"/>
      <c r="O132" s="774"/>
      <c r="P132" s="774"/>
      <c r="Q132" s="774"/>
      <c r="R132" s="774"/>
      <c r="S132" s="774"/>
    </row>
    <row r="133" spans="14:19" ht="29.1" customHeight="1">
      <c r="N133" s="774"/>
      <c r="O133" s="774"/>
      <c r="P133" s="774"/>
      <c r="Q133" s="774"/>
      <c r="R133" s="774"/>
      <c r="S133" s="774"/>
    </row>
    <row r="134" spans="14:19" ht="29.1" customHeight="1">
      <c r="N134" s="774"/>
      <c r="O134" s="774"/>
      <c r="P134" s="774"/>
      <c r="Q134" s="774"/>
      <c r="R134" s="774"/>
      <c r="S134" s="774"/>
    </row>
    <row r="135" spans="14:19" ht="29.1" customHeight="1">
      <c r="N135" s="774"/>
      <c r="O135" s="774"/>
      <c r="P135" s="774"/>
      <c r="Q135" s="774"/>
      <c r="R135" s="774"/>
      <c r="S135" s="774"/>
    </row>
    <row r="136" spans="14:19" ht="29.1" customHeight="1">
      <c r="N136" s="774"/>
      <c r="O136" s="774"/>
      <c r="P136" s="774"/>
      <c r="Q136" s="774"/>
      <c r="R136" s="774"/>
      <c r="S136" s="774"/>
    </row>
    <row r="137" spans="14:19" ht="29.1" customHeight="1">
      <c r="N137" s="774"/>
      <c r="O137" s="774"/>
      <c r="P137" s="774"/>
      <c r="Q137" s="774"/>
      <c r="R137" s="774"/>
      <c r="S137" s="774"/>
    </row>
    <row r="138" spans="14:19" ht="29.1" customHeight="1">
      <c r="N138" s="774"/>
      <c r="O138" s="774"/>
      <c r="P138" s="774"/>
      <c r="Q138" s="774"/>
      <c r="R138" s="774"/>
      <c r="S138" s="774"/>
    </row>
    <row r="139" spans="14:19" ht="29.1" customHeight="1">
      <c r="N139" s="774"/>
      <c r="O139" s="774"/>
      <c r="P139" s="774"/>
      <c r="Q139" s="774"/>
      <c r="R139" s="774"/>
      <c r="S139" s="774"/>
    </row>
    <row r="140" spans="14:19" ht="29.1" customHeight="1">
      <c r="N140" s="774"/>
      <c r="O140" s="774"/>
      <c r="P140" s="774"/>
      <c r="Q140" s="774"/>
      <c r="R140" s="774"/>
      <c r="S140" s="774"/>
    </row>
    <row r="141" spans="14:19" ht="29.1" customHeight="1">
      <c r="N141" s="774"/>
      <c r="O141" s="774"/>
      <c r="P141" s="774"/>
      <c r="Q141" s="774"/>
      <c r="R141" s="774"/>
      <c r="S141" s="774"/>
    </row>
    <row r="142" spans="14:19" ht="29.1" customHeight="1">
      <c r="N142" s="774"/>
      <c r="O142" s="774"/>
      <c r="P142" s="774"/>
      <c r="Q142" s="774"/>
      <c r="R142" s="774"/>
      <c r="S142" s="774"/>
    </row>
    <row r="143" spans="14:19" ht="29.1" customHeight="1">
      <c r="N143" s="774"/>
      <c r="O143" s="774"/>
      <c r="P143" s="774"/>
      <c r="Q143" s="774"/>
      <c r="R143" s="774"/>
      <c r="S143" s="774"/>
    </row>
    <row r="144" spans="14:19" ht="29.1" customHeight="1">
      <c r="N144" s="774"/>
      <c r="O144" s="774"/>
      <c r="P144" s="774"/>
      <c r="Q144" s="774"/>
      <c r="R144" s="774"/>
      <c r="S144" s="774"/>
    </row>
    <row r="145" spans="14:19" ht="29.1" customHeight="1">
      <c r="N145" s="774"/>
      <c r="O145" s="774"/>
      <c r="P145" s="774"/>
      <c r="Q145" s="774"/>
      <c r="R145" s="774"/>
      <c r="S145" s="774"/>
    </row>
    <row r="146" spans="14:19" ht="29.1" customHeight="1">
      <c r="N146" s="774"/>
      <c r="O146" s="774"/>
      <c r="P146" s="774"/>
      <c r="Q146" s="774"/>
      <c r="R146" s="774"/>
      <c r="S146" s="774"/>
    </row>
    <row r="147" spans="14:19" ht="29.1" customHeight="1">
      <c r="N147" s="774"/>
      <c r="O147" s="774"/>
      <c r="P147" s="774"/>
      <c r="Q147" s="774"/>
      <c r="R147" s="774"/>
      <c r="S147" s="774"/>
    </row>
    <row r="148" spans="14:19" ht="29.1" customHeight="1">
      <c r="N148" s="774"/>
      <c r="O148" s="774"/>
      <c r="P148" s="774"/>
      <c r="Q148" s="774"/>
      <c r="R148" s="774"/>
      <c r="S148" s="774"/>
    </row>
    <row r="149" spans="14:19" ht="29.1" customHeight="1">
      <c r="N149" s="774"/>
      <c r="O149" s="774"/>
      <c r="P149" s="774"/>
      <c r="Q149" s="774"/>
      <c r="R149" s="774"/>
      <c r="S149" s="774"/>
    </row>
    <row r="150" spans="14:19" ht="29.1" customHeight="1">
      <c r="N150" s="774"/>
      <c r="O150" s="774"/>
      <c r="P150" s="774"/>
      <c r="Q150" s="774"/>
      <c r="R150" s="774"/>
      <c r="S150" s="774"/>
    </row>
    <row r="151" spans="14:19" ht="29.1" customHeight="1">
      <c r="N151" s="774"/>
      <c r="O151" s="774"/>
      <c r="P151" s="774"/>
      <c r="Q151" s="774"/>
      <c r="R151" s="774"/>
      <c r="S151" s="774"/>
    </row>
    <row r="152" spans="14:19" ht="29.1" customHeight="1">
      <c r="N152" s="774"/>
      <c r="O152" s="774"/>
      <c r="P152" s="774"/>
      <c r="Q152" s="774"/>
      <c r="R152" s="774"/>
      <c r="S152" s="774"/>
    </row>
    <row r="153" spans="14:19" ht="29.1" customHeight="1">
      <c r="N153" s="774"/>
      <c r="O153" s="774"/>
      <c r="P153" s="774"/>
      <c r="Q153" s="774"/>
      <c r="R153" s="774"/>
      <c r="S153" s="774"/>
    </row>
    <row r="154" spans="14:19" ht="29.1" customHeight="1">
      <c r="N154" s="774"/>
      <c r="O154" s="774"/>
      <c r="P154" s="774"/>
      <c r="Q154" s="774"/>
      <c r="R154" s="774"/>
      <c r="S154" s="774"/>
    </row>
    <row r="155" spans="14:19" ht="29.1" customHeight="1">
      <c r="N155" s="774"/>
      <c r="O155" s="774"/>
      <c r="P155" s="774"/>
      <c r="Q155" s="774"/>
      <c r="R155" s="774"/>
      <c r="S155" s="774"/>
    </row>
    <row r="156" spans="14:19" ht="29.1" customHeight="1">
      <c r="N156" s="774"/>
      <c r="O156" s="774"/>
      <c r="P156" s="774"/>
      <c r="Q156" s="774"/>
      <c r="R156" s="774"/>
      <c r="S156" s="774"/>
    </row>
    <row r="157" spans="14:19" ht="29.1" customHeight="1">
      <c r="N157" s="774"/>
      <c r="O157" s="774"/>
      <c r="P157" s="774"/>
      <c r="Q157" s="774"/>
      <c r="R157" s="774"/>
      <c r="S157" s="774"/>
    </row>
    <row r="158" spans="14:19" ht="29.1" customHeight="1">
      <c r="N158" s="774"/>
      <c r="O158" s="774"/>
      <c r="P158" s="774"/>
      <c r="Q158" s="774"/>
      <c r="R158" s="774"/>
      <c r="S158" s="774"/>
    </row>
    <row r="159" spans="14:19" ht="29.1" customHeight="1">
      <c r="N159" s="774"/>
      <c r="O159" s="774"/>
      <c r="P159" s="774"/>
      <c r="Q159" s="774"/>
      <c r="R159" s="774"/>
      <c r="S159" s="774"/>
    </row>
    <row r="160" spans="14:19" ht="29.1" customHeight="1">
      <c r="N160" s="774"/>
      <c r="O160" s="774"/>
      <c r="P160" s="774"/>
      <c r="Q160" s="774"/>
      <c r="R160" s="774"/>
      <c r="S160" s="774"/>
    </row>
    <row r="161" spans="14:19" ht="29.1" customHeight="1">
      <c r="N161" s="774"/>
      <c r="O161" s="774"/>
      <c r="P161" s="774"/>
      <c r="Q161" s="774"/>
      <c r="R161" s="774"/>
      <c r="S161" s="774"/>
    </row>
    <row r="162" spans="14:19" ht="29.1" customHeight="1">
      <c r="N162" s="774"/>
      <c r="O162" s="774"/>
      <c r="P162" s="774"/>
      <c r="Q162" s="774"/>
      <c r="R162" s="774"/>
      <c r="S162" s="774"/>
    </row>
    <row r="163" spans="14:19" ht="29.1" customHeight="1">
      <c r="N163" s="774"/>
      <c r="O163" s="774"/>
      <c r="P163" s="774"/>
      <c r="Q163" s="774"/>
      <c r="R163" s="774"/>
      <c r="S163" s="774"/>
    </row>
    <row r="164" spans="14:19" ht="29.1" customHeight="1">
      <c r="N164" s="774"/>
      <c r="O164" s="774"/>
      <c r="P164" s="774"/>
      <c r="Q164" s="774"/>
      <c r="R164" s="774"/>
      <c r="S164" s="774"/>
    </row>
    <row r="165" spans="14:19" ht="29.1" customHeight="1">
      <c r="N165" s="774"/>
      <c r="O165" s="774"/>
      <c r="P165" s="774"/>
      <c r="Q165" s="774"/>
      <c r="R165" s="774"/>
      <c r="S165" s="774"/>
    </row>
    <row r="166" spans="14:19" ht="29.1" customHeight="1">
      <c r="N166" s="774"/>
      <c r="O166" s="774"/>
      <c r="P166" s="774"/>
      <c r="Q166" s="774"/>
      <c r="R166" s="774"/>
      <c r="S166" s="774"/>
    </row>
    <row r="167" spans="14:19" ht="29.1" customHeight="1">
      <c r="N167" s="774"/>
      <c r="O167" s="774"/>
      <c r="P167" s="774"/>
      <c r="Q167" s="774"/>
      <c r="R167" s="774"/>
      <c r="S167" s="774"/>
    </row>
    <row r="168" spans="14:19" ht="29.1" customHeight="1">
      <c r="N168" s="774"/>
      <c r="O168" s="774"/>
      <c r="P168" s="774"/>
      <c r="Q168" s="774"/>
      <c r="R168" s="774"/>
      <c r="S168" s="774"/>
    </row>
    <row r="169" spans="14:19" ht="29.1" customHeight="1">
      <c r="N169" s="774"/>
      <c r="O169" s="774"/>
      <c r="P169" s="774"/>
      <c r="Q169" s="774"/>
      <c r="R169" s="774"/>
      <c r="S169" s="774"/>
    </row>
    <row r="170" spans="14:19" ht="29.1" customHeight="1">
      <c r="N170" s="774"/>
      <c r="O170" s="774"/>
      <c r="P170" s="774"/>
      <c r="Q170" s="774"/>
      <c r="R170" s="774"/>
      <c r="S170" s="774"/>
    </row>
    <row r="171" spans="14:19" ht="29.1" customHeight="1">
      <c r="N171" s="774"/>
      <c r="O171" s="774"/>
      <c r="P171" s="774"/>
      <c r="Q171" s="774"/>
      <c r="R171" s="774"/>
      <c r="S171" s="774"/>
    </row>
    <row r="172" spans="14:19" ht="29.1" customHeight="1">
      <c r="N172" s="774"/>
      <c r="O172" s="774"/>
      <c r="P172" s="774"/>
      <c r="Q172" s="774"/>
      <c r="R172" s="774"/>
      <c r="S172" s="774"/>
    </row>
    <row r="173" spans="14:19" ht="29.1" customHeight="1">
      <c r="N173" s="774"/>
      <c r="O173" s="774"/>
      <c r="P173" s="774"/>
      <c r="Q173" s="774"/>
      <c r="R173" s="774"/>
      <c r="S173" s="774"/>
    </row>
    <row r="174" spans="14:19" ht="29.1" customHeight="1">
      <c r="N174" s="774"/>
      <c r="O174" s="774"/>
      <c r="P174" s="774"/>
      <c r="Q174" s="774"/>
      <c r="R174" s="774"/>
      <c r="S174" s="774"/>
    </row>
    <row r="175" spans="14:19" ht="29.1" customHeight="1">
      <c r="N175" s="774"/>
      <c r="O175" s="774"/>
      <c r="P175" s="774"/>
      <c r="Q175" s="774"/>
      <c r="R175" s="774"/>
      <c r="S175" s="774"/>
    </row>
    <row r="176" spans="14:19" ht="29.1" customHeight="1">
      <c r="N176" s="774"/>
      <c r="O176" s="774"/>
      <c r="P176" s="774"/>
      <c r="Q176" s="774"/>
      <c r="R176" s="774"/>
      <c r="S176" s="774"/>
    </row>
    <row r="177" spans="14:19" ht="29.1" customHeight="1">
      <c r="N177" s="774"/>
      <c r="O177" s="774"/>
      <c r="P177" s="774"/>
      <c r="Q177" s="774"/>
      <c r="R177" s="774"/>
      <c r="S177" s="774"/>
    </row>
    <row r="178" spans="14:19" ht="29.1" customHeight="1">
      <c r="N178" s="774"/>
      <c r="O178" s="774"/>
      <c r="P178" s="774"/>
      <c r="Q178" s="774"/>
      <c r="R178" s="774"/>
      <c r="S178" s="774"/>
    </row>
    <row r="179" spans="14:19" ht="29.1" customHeight="1">
      <c r="N179" s="774"/>
      <c r="O179" s="774"/>
      <c r="P179" s="774"/>
      <c r="Q179" s="774"/>
      <c r="R179" s="774"/>
      <c r="S179" s="774"/>
    </row>
    <row r="180" spans="14:19" ht="29.1" customHeight="1">
      <c r="N180" s="774"/>
      <c r="O180" s="774"/>
      <c r="P180" s="774"/>
      <c r="Q180" s="774"/>
      <c r="R180" s="774"/>
      <c r="S180" s="774"/>
    </row>
    <row r="181" spans="14:19" ht="29.1" customHeight="1">
      <c r="N181" s="774"/>
      <c r="O181" s="774"/>
      <c r="P181" s="774"/>
      <c r="Q181" s="774"/>
      <c r="R181" s="774"/>
      <c r="S181" s="774"/>
    </row>
    <row r="182" spans="14:19" ht="29.1" customHeight="1">
      <c r="N182" s="774"/>
      <c r="O182" s="774"/>
      <c r="P182" s="774"/>
      <c r="Q182" s="774"/>
      <c r="R182" s="774"/>
      <c r="S182" s="774"/>
    </row>
    <row r="183" spans="14:19" ht="29.1" customHeight="1">
      <c r="N183" s="774"/>
      <c r="O183" s="774"/>
      <c r="P183" s="774"/>
      <c r="Q183" s="774"/>
      <c r="R183" s="774"/>
      <c r="S183" s="774"/>
    </row>
    <row r="184" spans="14:19" ht="29.1" customHeight="1">
      <c r="N184" s="774"/>
      <c r="O184" s="774"/>
      <c r="P184" s="774"/>
      <c r="Q184" s="774"/>
      <c r="R184" s="774"/>
      <c r="S184" s="774"/>
    </row>
    <row r="185" spans="14:19" ht="29.1" customHeight="1">
      <c r="N185" s="774"/>
      <c r="O185" s="774"/>
      <c r="P185" s="774"/>
      <c r="Q185" s="774"/>
      <c r="R185" s="774"/>
      <c r="S185" s="774"/>
    </row>
    <row r="186" spans="14:19" ht="29.1" customHeight="1">
      <c r="N186" s="774"/>
      <c r="O186" s="774"/>
      <c r="P186" s="774"/>
      <c r="Q186" s="774"/>
      <c r="R186" s="774"/>
      <c r="S186" s="774"/>
    </row>
    <row r="187" spans="14:19" ht="29.1" customHeight="1">
      <c r="N187" s="774"/>
      <c r="O187" s="774"/>
      <c r="P187" s="774"/>
      <c r="Q187" s="774"/>
      <c r="R187" s="774"/>
      <c r="S187" s="774"/>
    </row>
    <row r="188" spans="14:19" ht="29.1" customHeight="1">
      <c r="N188" s="774"/>
      <c r="O188" s="774"/>
      <c r="P188" s="774"/>
      <c r="Q188" s="774"/>
      <c r="R188" s="774"/>
      <c r="S188" s="774"/>
    </row>
    <row r="189" spans="14:19" ht="29.1" customHeight="1">
      <c r="N189" s="774"/>
      <c r="O189" s="774"/>
      <c r="P189" s="774"/>
      <c r="Q189" s="774"/>
      <c r="R189" s="774"/>
      <c r="S189" s="774"/>
    </row>
    <row r="190" spans="14:19" ht="29.1" customHeight="1">
      <c r="N190" s="774"/>
      <c r="O190" s="774"/>
      <c r="P190" s="774"/>
      <c r="Q190" s="774"/>
      <c r="R190" s="774"/>
      <c r="S190" s="774"/>
    </row>
    <row r="191" spans="14:19" ht="29.1" customHeight="1">
      <c r="N191" s="774"/>
      <c r="O191" s="774"/>
      <c r="P191" s="774"/>
      <c r="Q191" s="774"/>
      <c r="R191" s="774"/>
      <c r="S191" s="774"/>
    </row>
    <row r="192" spans="14:19" ht="29.1" customHeight="1">
      <c r="N192" s="774"/>
      <c r="O192" s="774"/>
      <c r="P192" s="774"/>
      <c r="Q192" s="774"/>
      <c r="R192" s="774"/>
      <c r="S192" s="774"/>
    </row>
    <row r="193" spans="14:19" ht="29.1" customHeight="1">
      <c r="N193" s="774"/>
      <c r="O193" s="774"/>
      <c r="P193" s="774"/>
      <c r="Q193" s="774"/>
      <c r="R193" s="774"/>
      <c r="S193" s="774"/>
    </row>
    <row r="194" spans="14:19" ht="29.1" customHeight="1">
      <c r="N194" s="774"/>
      <c r="O194" s="774"/>
      <c r="P194" s="774"/>
      <c r="Q194" s="774"/>
      <c r="R194" s="774"/>
      <c r="S194" s="774"/>
    </row>
    <row r="195" spans="14:19" ht="29.1" customHeight="1">
      <c r="N195" s="774"/>
      <c r="O195" s="774"/>
      <c r="P195" s="774"/>
      <c r="Q195" s="774"/>
      <c r="R195" s="774"/>
      <c r="S195" s="774"/>
    </row>
    <row r="196" spans="14:19" ht="29.1" customHeight="1">
      <c r="N196" s="774"/>
      <c r="O196" s="774"/>
      <c r="P196" s="774"/>
      <c r="Q196" s="774"/>
      <c r="R196" s="774"/>
      <c r="S196" s="774"/>
    </row>
    <row r="197" spans="14:19" ht="29.1" customHeight="1">
      <c r="N197" s="774"/>
      <c r="O197" s="774"/>
      <c r="P197" s="774"/>
      <c r="Q197" s="774"/>
      <c r="R197" s="774"/>
      <c r="S197" s="774"/>
    </row>
    <row r="198" spans="14:19" ht="29.1" customHeight="1">
      <c r="N198" s="774"/>
      <c r="O198" s="774"/>
      <c r="P198" s="774"/>
      <c r="Q198" s="774"/>
      <c r="R198" s="774"/>
      <c r="S198" s="774"/>
    </row>
    <row r="199" spans="14:19" ht="29.1" customHeight="1">
      <c r="N199" s="774"/>
      <c r="O199" s="774"/>
      <c r="P199" s="774"/>
      <c r="Q199" s="774"/>
      <c r="R199" s="774"/>
      <c r="S199" s="774"/>
    </row>
    <row r="200" spans="14:19" ht="29.1" customHeight="1">
      <c r="N200" s="774"/>
      <c r="O200" s="774"/>
      <c r="P200" s="774"/>
      <c r="Q200" s="774"/>
      <c r="R200" s="774"/>
      <c r="S200" s="774"/>
    </row>
    <row r="201" spans="14:19" ht="29.1" customHeight="1">
      <c r="N201" s="774"/>
      <c r="O201" s="774"/>
      <c r="P201" s="774"/>
      <c r="Q201" s="774"/>
      <c r="R201" s="774"/>
      <c r="S201" s="774"/>
    </row>
    <row r="202" spans="14:19" ht="29.1" customHeight="1">
      <c r="N202" s="774"/>
      <c r="O202" s="774"/>
      <c r="P202" s="774"/>
      <c r="Q202" s="774"/>
      <c r="R202" s="774"/>
      <c r="S202" s="774"/>
    </row>
    <row r="203" spans="14:19" ht="29.1" customHeight="1">
      <c r="N203" s="774"/>
      <c r="O203" s="774"/>
      <c r="P203" s="774"/>
      <c r="Q203" s="774"/>
      <c r="R203" s="774"/>
      <c r="S203" s="774"/>
    </row>
    <row r="204" spans="14:19" ht="29.1" customHeight="1">
      <c r="N204" s="774"/>
      <c r="O204" s="774"/>
      <c r="P204" s="774"/>
      <c r="Q204" s="774"/>
      <c r="R204" s="774"/>
      <c r="S204" s="774"/>
    </row>
    <row r="205" spans="14:19" ht="29.1" customHeight="1">
      <c r="N205" s="774"/>
      <c r="O205" s="774"/>
      <c r="P205" s="774"/>
      <c r="Q205" s="774"/>
      <c r="R205" s="774"/>
      <c r="S205" s="774"/>
    </row>
    <row r="206" spans="14:19" ht="29.1" customHeight="1">
      <c r="N206" s="774"/>
      <c r="O206" s="774"/>
      <c r="P206" s="774"/>
      <c r="Q206" s="774"/>
      <c r="R206" s="774"/>
      <c r="S206" s="774"/>
    </row>
    <row r="207" spans="14:19" ht="29.1" customHeight="1">
      <c r="N207" s="774"/>
      <c r="O207" s="774"/>
      <c r="P207" s="774"/>
      <c r="Q207" s="774"/>
      <c r="R207" s="774"/>
      <c r="S207" s="774"/>
    </row>
    <row r="208" spans="14:19" ht="29.1" customHeight="1">
      <c r="N208" s="774"/>
      <c r="O208" s="774"/>
      <c r="P208" s="774"/>
      <c r="Q208" s="774"/>
      <c r="R208" s="774"/>
      <c r="S208" s="774"/>
    </row>
    <row r="209" spans="14:19" ht="29.1" customHeight="1">
      <c r="N209" s="774"/>
      <c r="O209" s="774"/>
      <c r="P209" s="774"/>
      <c r="Q209" s="774"/>
      <c r="R209" s="774"/>
      <c r="S209" s="774"/>
    </row>
    <row r="210" spans="14:19" ht="29.1" customHeight="1">
      <c r="N210" s="774"/>
      <c r="O210" s="774"/>
      <c r="P210" s="774"/>
      <c r="Q210" s="774"/>
      <c r="R210" s="774"/>
      <c r="S210" s="774"/>
    </row>
    <row r="211" spans="14:19" ht="29.1" customHeight="1">
      <c r="N211" s="774"/>
      <c r="O211" s="774"/>
      <c r="P211" s="774"/>
      <c r="Q211" s="774"/>
      <c r="R211" s="774"/>
      <c r="S211" s="774"/>
    </row>
    <row r="212" spans="14:19" ht="29.1" customHeight="1">
      <c r="N212" s="774"/>
      <c r="O212" s="774"/>
      <c r="P212" s="774"/>
      <c r="Q212" s="774"/>
      <c r="R212" s="774"/>
      <c r="S212" s="774"/>
    </row>
    <row r="213" spans="14:19" ht="29.1" customHeight="1">
      <c r="N213" s="774"/>
      <c r="O213" s="774"/>
      <c r="P213" s="774"/>
      <c r="Q213" s="774"/>
      <c r="R213" s="774"/>
      <c r="S213" s="774"/>
    </row>
    <row r="214" spans="14:19" ht="29.1" customHeight="1">
      <c r="N214" s="774"/>
      <c r="O214" s="774"/>
      <c r="P214" s="774"/>
      <c r="Q214" s="774"/>
      <c r="R214" s="774"/>
      <c r="S214" s="774"/>
    </row>
    <row r="215" spans="14:19" ht="29.1" customHeight="1">
      <c r="N215" s="774"/>
      <c r="O215" s="774"/>
      <c r="P215" s="774"/>
      <c r="Q215" s="774"/>
      <c r="R215" s="774"/>
      <c r="S215" s="774"/>
    </row>
    <row r="216" spans="14:19" ht="29.1" customHeight="1">
      <c r="N216" s="774"/>
      <c r="O216" s="774"/>
      <c r="P216" s="774"/>
      <c r="Q216" s="774"/>
      <c r="R216" s="774"/>
      <c r="S216" s="774"/>
    </row>
    <row r="217" spans="14:19" ht="29.1" customHeight="1">
      <c r="N217" s="774"/>
      <c r="O217" s="774"/>
      <c r="P217" s="774"/>
      <c r="Q217" s="774"/>
      <c r="R217" s="774"/>
      <c r="S217" s="774"/>
    </row>
    <row r="218" spans="14:19" ht="29.1" customHeight="1">
      <c r="N218" s="774"/>
      <c r="O218" s="774"/>
      <c r="P218" s="774"/>
      <c r="Q218" s="774"/>
      <c r="R218" s="774"/>
      <c r="S218" s="774"/>
    </row>
    <row r="219" spans="14:19" ht="29.1" customHeight="1">
      <c r="N219" s="774"/>
      <c r="O219" s="774"/>
      <c r="P219" s="774"/>
      <c r="Q219" s="774"/>
      <c r="R219" s="774"/>
      <c r="S219" s="774"/>
    </row>
    <row r="220" spans="14:19" ht="29.1" customHeight="1">
      <c r="N220" s="774"/>
      <c r="O220" s="774"/>
      <c r="P220" s="774"/>
      <c r="Q220" s="774"/>
      <c r="R220" s="774"/>
      <c r="S220" s="774"/>
    </row>
    <row r="221" spans="14:19" ht="29.1" customHeight="1">
      <c r="N221" s="774"/>
      <c r="O221" s="774"/>
      <c r="P221" s="774"/>
      <c r="Q221" s="774"/>
      <c r="R221" s="774"/>
      <c r="S221" s="774"/>
    </row>
    <row r="222" spans="14:19" ht="29.1" customHeight="1">
      <c r="N222" s="774"/>
      <c r="O222" s="774"/>
      <c r="P222" s="774"/>
      <c r="Q222" s="774"/>
      <c r="R222" s="774"/>
      <c r="S222" s="774"/>
    </row>
    <row r="223" spans="14:19" ht="29.1" customHeight="1">
      <c r="N223" s="774"/>
      <c r="O223" s="774"/>
      <c r="P223" s="774"/>
      <c r="Q223" s="774"/>
      <c r="R223" s="774"/>
      <c r="S223" s="774"/>
    </row>
    <row r="224" spans="14:19" ht="29.1" customHeight="1">
      <c r="N224" s="774"/>
      <c r="O224" s="774"/>
      <c r="P224" s="774"/>
      <c r="Q224" s="774"/>
      <c r="R224" s="774"/>
      <c r="S224" s="774"/>
    </row>
    <row r="225" spans="14:19" ht="29.1" customHeight="1">
      <c r="N225" s="774"/>
      <c r="O225" s="774"/>
      <c r="P225" s="774"/>
      <c r="Q225" s="774"/>
      <c r="R225" s="774"/>
      <c r="S225" s="774"/>
    </row>
    <row r="226" spans="14:19" ht="29.1" customHeight="1">
      <c r="N226" s="774"/>
      <c r="O226" s="774"/>
      <c r="P226" s="774"/>
      <c r="Q226" s="774"/>
      <c r="R226" s="774"/>
      <c r="S226" s="774"/>
    </row>
    <row r="227" spans="14:19" ht="29.1" customHeight="1">
      <c r="N227" s="774"/>
      <c r="O227" s="774"/>
      <c r="P227" s="774"/>
      <c r="Q227" s="774"/>
      <c r="R227" s="774"/>
      <c r="S227" s="774"/>
    </row>
    <row r="228" spans="14:19" ht="29.1" customHeight="1">
      <c r="N228" s="774"/>
      <c r="O228" s="774"/>
      <c r="P228" s="774"/>
      <c r="Q228" s="774"/>
      <c r="R228" s="774"/>
      <c r="S228" s="774"/>
    </row>
    <row r="229" spans="14:19" ht="29.1" customHeight="1">
      <c r="N229" s="774"/>
      <c r="O229" s="774"/>
      <c r="P229" s="774"/>
      <c r="Q229" s="774"/>
      <c r="R229" s="774"/>
      <c r="S229" s="774"/>
    </row>
    <row r="230" spans="14:19" ht="29.1" customHeight="1">
      <c r="N230" s="774"/>
      <c r="O230" s="774"/>
      <c r="P230" s="774"/>
      <c r="Q230" s="774"/>
      <c r="R230" s="774"/>
      <c r="S230" s="774"/>
    </row>
    <row r="231" spans="14:19" ht="29.1" customHeight="1">
      <c r="N231" s="774"/>
      <c r="O231" s="774"/>
      <c r="P231" s="774"/>
      <c r="Q231" s="774"/>
      <c r="R231" s="774"/>
      <c r="S231" s="774"/>
    </row>
    <row r="232" spans="14:19" ht="29.1" customHeight="1">
      <c r="N232" s="774"/>
      <c r="O232" s="774"/>
      <c r="P232" s="774"/>
      <c r="Q232" s="774"/>
      <c r="R232" s="774"/>
      <c r="S232" s="774"/>
    </row>
    <row r="233" spans="14:19" ht="29.1" customHeight="1">
      <c r="N233" s="774"/>
      <c r="O233" s="774"/>
      <c r="P233" s="774"/>
      <c r="Q233" s="774"/>
      <c r="R233" s="774"/>
      <c r="S233" s="774"/>
    </row>
    <row r="234" spans="14:19" ht="29.1" customHeight="1">
      <c r="N234" s="774"/>
      <c r="O234" s="774"/>
      <c r="P234" s="774"/>
      <c r="Q234" s="774"/>
      <c r="R234" s="774"/>
      <c r="S234" s="774"/>
    </row>
    <row r="235" spans="14:19" ht="29.1" customHeight="1">
      <c r="N235" s="774"/>
      <c r="O235" s="774"/>
      <c r="P235" s="774"/>
      <c r="Q235" s="774"/>
      <c r="R235" s="774"/>
      <c r="S235" s="774"/>
    </row>
    <row r="236" spans="14:19" ht="29.1" customHeight="1">
      <c r="N236" s="774"/>
      <c r="O236" s="774"/>
      <c r="P236" s="774"/>
      <c r="Q236" s="774"/>
      <c r="R236" s="774"/>
      <c r="S236" s="774"/>
    </row>
    <row r="237" spans="14:19" ht="29.1" customHeight="1">
      <c r="N237" s="774"/>
      <c r="O237" s="774"/>
      <c r="P237" s="774"/>
      <c r="Q237" s="774"/>
      <c r="R237" s="774"/>
      <c r="S237" s="774"/>
    </row>
    <row r="238" spans="14:19" ht="29.1" customHeight="1">
      <c r="N238" s="774"/>
      <c r="O238" s="774"/>
      <c r="P238" s="774"/>
      <c r="Q238" s="774"/>
      <c r="R238" s="774"/>
      <c r="S238" s="774"/>
    </row>
    <row r="239" spans="14:19" ht="29.1" customHeight="1">
      <c r="N239" s="774"/>
      <c r="O239" s="774"/>
      <c r="P239" s="774"/>
      <c r="Q239" s="774"/>
      <c r="R239" s="774"/>
      <c r="S239" s="774"/>
    </row>
    <row r="240" spans="14:19" ht="29.1" customHeight="1">
      <c r="N240" s="774"/>
      <c r="O240" s="774"/>
      <c r="P240" s="774"/>
      <c r="Q240" s="774"/>
      <c r="R240" s="774"/>
      <c r="S240" s="774"/>
    </row>
    <row r="241" spans="14:19" ht="29.1" customHeight="1">
      <c r="N241" s="774"/>
      <c r="O241" s="774"/>
      <c r="P241" s="774"/>
      <c r="Q241" s="774"/>
      <c r="R241" s="774"/>
      <c r="S241" s="774"/>
    </row>
    <row r="242" spans="14:19" ht="29.1" customHeight="1">
      <c r="N242" s="774"/>
      <c r="O242" s="774"/>
      <c r="P242" s="774"/>
      <c r="Q242" s="774"/>
      <c r="R242" s="774"/>
      <c r="S242" s="774"/>
    </row>
    <row r="243" spans="14:19" ht="29.1" customHeight="1">
      <c r="N243" s="774"/>
      <c r="O243" s="774"/>
      <c r="P243" s="774"/>
      <c r="Q243" s="774"/>
      <c r="R243" s="774"/>
      <c r="S243" s="774"/>
    </row>
    <row r="244" spans="14:19" ht="29.1" customHeight="1">
      <c r="N244" s="774"/>
      <c r="O244" s="774"/>
      <c r="P244" s="774"/>
      <c r="Q244" s="774"/>
      <c r="R244" s="774"/>
      <c r="S244" s="774"/>
    </row>
    <row r="245" spans="14:19" ht="29.1" customHeight="1">
      <c r="N245" s="774"/>
      <c r="O245" s="774"/>
      <c r="P245" s="774"/>
      <c r="Q245" s="774"/>
      <c r="R245" s="774"/>
      <c r="S245" s="774"/>
    </row>
    <row r="246" spans="14:19" ht="29.1" customHeight="1">
      <c r="N246" s="774"/>
      <c r="O246" s="774"/>
      <c r="P246" s="774"/>
      <c r="Q246" s="774"/>
      <c r="R246" s="774"/>
      <c r="S246" s="774"/>
    </row>
    <row r="247" spans="14:19" ht="29.1" customHeight="1">
      <c r="N247" s="774"/>
      <c r="O247" s="774"/>
      <c r="P247" s="774"/>
      <c r="Q247" s="774"/>
      <c r="R247" s="774"/>
      <c r="S247" s="774"/>
    </row>
    <row r="248" spans="14:19" ht="29.1" customHeight="1">
      <c r="N248" s="774"/>
      <c r="O248" s="774"/>
      <c r="P248" s="774"/>
      <c r="Q248" s="774"/>
      <c r="R248" s="774"/>
      <c r="S248" s="774"/>
    </row>
    <row r="249" spans="14:19" ht="29.1" customHeight="1">
      <c r="N249" s="774"/>
      <c r="O249" s="774"/>
      <c r="P249" s="774"/>
      <c r="Q249" s="774"/>
      <c r="R249" s="774"/>
      <c r="S249" s="774"/>
    </row>
    <row r="250" spans="14:19" ht="29.1" customHeight="1">
      <c r="N250" s="774"/>
      <c r="O250" s="774"/>
      <c r="P250" s="774"/>
      <c r="Q250" s="774"/>
      <c r="R250" s="774"/>
      <c r="S250" s="774"/>
    </row>
    <row r="251" spans="14:19" ht="29.1" customHeight="1">
      <c r="N251" s="774"/>
      <c r="O251" s="774"/>
      <c r="P251" s="774"/>
      <c r="Q251" s="774"/>
      <c r="R251" s="774"/>
      <c r="S251" s="774"/>
    </row>
    <row r="252" spans="14:19" ht="29.1" customHeight="1">
      <c r="N252" s="774"/>
      <c r="O252" s="774"/>
      <c r="P252" s="774"/>
      <c r="Q252" s="774"/>
      <c r="R252" s="774"/>
      <c r="S252" s="774"/>
    </row>
    <row r="253" spans="14:19" ht="29.1" customHeight="1">
      <c r="N253" s="774"/>
      <c r="O253" s="774"/>
      <c r="P253" s="774"/>
      <c r="Q253" s="774"/>
      <c r="R253" s="774"/>
      <c r="S253" s="774"/>
    </row>
    <row r="254" spans="14:19" ht="29.1" customHeight="1">
      <c r="N254" s="774"/>
      <c r="O254" s="774"/>
      <c r="P254" s="774"/>
      <c r="Q254" s="774"/>
      <c r="R254" s="774"/>
      <c r="S254" s="774"/>
    </row>
    <row r="255" spans="14:19" ht="29.1" customHeight="1">
      <c r="N255" s="774"/>
      <c r="O255" s="774"/>
      <c r="P255" s="774"/>
      <c r="Q255" s="774"/>
      <c r="R255" s="774"/>
      <c r="S255" s="774"/>
    </row>
    <row r="256" spans="14:19" ht="29.1" customHeight="1">
      <c r="N256" s="774"/>
      <c r="O256" s="774"/>
      <c r="P256" s="774"/>
      <c r="Q256" s="774"/>
      <c r="R256" s="774"/>
      <c r="S256" s="774"/>
    </row>
    <row r="257" spans="14:19" ht="29.1" customHeight="1">
      <c r="N257" s="774"/>
      <c r="O257" s="774"/>
      <c r="P257" s="774"/>
      <c r="Q257" s="774"/>
      <c r="R257" s="774"/>
      <c r="S257" s="774"/>
    </row>
    <row r="258" spans="14:19" ht="29.1" customHeight="1">
      <c r="N258" s="774"/>
      <c r="O258" s="774"/>
      <c r="P258" s="774"/>
      <c r="Q258" s="774"/>
      <c r="R258" s="774"/>
      <c r="S258" s="774"/>
    </row>
    <row r="259" spans="14:19" ht="29.1" customHeight="1">
      <c r="N259" s="774"/>
      <c r="O259" s="774"/>
      <c r="P259" s="774"/>
      <c r="Q259" s="774"/>
      <c r="R259" s="774"/>
      <c r="S259" s="774"/>
    </row>
    <row r="260" spans="14:19" ht="29.1" customHeight="1">
      <c r="N260" s="774"/>
      <c r="O260" s="774"/>
      <c r="P260" s="774"/>
      <c r="Q260" s="774"/>
      <c r="R260" s="774"/>
      <c r="S260" s="774"/>
    </row>
    <row r="261" spans="14:19" ht="29.1" customHeight="1">
      <c r="N261" s="774"/>
      <c r="O261" s="774"/>
      <c r="P261" s="774"/>
      <c r="Q261" s="774"/>
      <c r="R261" s="774"/>
      <c r="S261" s="774"/>
    </row>
    <row r="262" spans="14:19" ht="29.1" customHeight="1">
      <c r="N262" s="774"/>
      <c r="O262" s="774"/>
      <c r="P262" s="774"/>
      <c r="Q262" s="774"/>
      <c r="R262" s="774"/>
      <c r="S262" s="774"/>
    </row>
    <row r="263" spans="14:19" ht="29.1" customHeight="1">
      <c r="N263" s="774"/>
      <c r="O263" s="774"/>
      <c r="P263" s="774"/>
      <c r="Q263" s="774"/>
      <c r="R263" s="774"/>
      <c r="S263" s="774"/>
    </row>
    <row r="264" spans="14:19" ht="29.1" customHeight="1">
      <c r="N264" s="774"/>
      <c r="O264" s="774"/>
      <c r="P264" s="774"/>
      <c r="Q264" s="774"/>
      <c r="R264" s="774"/>
      <c r="S264" s="774"/>
    </row>
    <row r="265" spans="14:19" ht="29.1" customHeight="1">
      <c r="N265" s="774"/>
      <c r="O265" s="774"/>
      <c r="P265" s="774"/>
      <c r="Q265" s="774"/>
      <c r="R265" s="774"/>
      <c r="S265" s="774"/>
    </row>
    <row r="266" spans="14:19" ht="29.1" customHeight="1">
      <c r="N266" s="774"/>
      <c r="O266" s="774"/>
      <c r="P266" s="774"/>
      <c r="Q266" s="774"/>
      <c r="R266" s="774"/>
      <c r="S266" s="774"/>
    </row>
    <row r="267" spans="14:19" ht="29.1" customHeight="1">
      <c r="N267" s="774"/>
      <c r="O267" s="774"/>
      <c r="P267" s="774"/>
      <c r="Q267" s="774"/>
      <c r="R267" s="774"/>
      <c r="S267" s="774"/>
    </row>
    <row r="268" spans="14:19" ht="29.1" customHeight="1">
      <c r="N268" s="774"/>
      <c r="O268" s="774"/>
      <c r="P268" s="774"/>
      <c r="Q268" s="774"/>
      <c r="R268" s="774"/>
      <c r="S268" s="774"/>
    </row>
    <row r="269" spans="14:19" ht="29.1" customHeight="1">
      <c r="N269" s="774"/>
      <c r="O269" s="774"/>
      <c r="P269" s="774"/>
      <c r="Q269" s="774"/>
      <c r="R269" s="774"/>
      <c r="S269" s="774"/>
    </row>
    <row r="270" spans="14:19" ht="29.1" customHeight="1">
      <c r="N270" s="774"/>
      <c r="O270" s="774"/>
      <c r="P270" s="774"/>
      <c r="Q270" s="774"/>
      <c r="R270" s="774"/>
      <c r="S270" s="774"/>
    </row>
    <row r="271" spans="14:19" ht="29.1" customHeight="1">
      <c r="N271" s="774"/>
      <c r="O271" s="774"/>
      <c r="P271" s="774"/>
      <c r="Q271" s="774"/>
      <c r="R271" s="774"/>
      <c r="S271" s="774"/>
    </row>
    <row r="272" spans="14:19" ht="29.1" customHeight="1">
      <c r="N272" s="774"/>
      <c r="O272" s="774"/>
      <c r="P272" s="774"/>
      <c r="Q272" s="774"/>
      <c r="R272" s="774"/>
      <c r="S272" s="774"/>
    </row>
    <row r="273" spans="14:19" ht="29.1" customHeight="1">
      <c r="N273" s="774"/>
      <c r="O273" s="774"/>
      <c r="P273" s="774"/>
      <c r="Q273" s="774"/>
      <c r="R273" s="774"/>
      <c r="S273" s="774"/>
    </row>
    <row r="274" spans="14:19" ht="29.1" customHeight="1">
      <c r="N274" s="774"/>
      <c r="O274" s="774"/>
      <c r="P274" s="774"/>
      <c r="Q274" s="774"/>
      <c r="R274" s="774"/>
      <c r="S274" s="774"/>
    </row>
    <row r="275" spans="14:19" ht="29.1" customHeight="1">
      <c r="N275" s="774"/>
      <c r="O275" s="774"/>
      <c r="P275" s="774"/>
      <c r="Q275" s="774"/>
      <c r="R275" s="774"/>
      <c r="S275" s="774"/>
    </row>
    <row r="276" spans="14:19" ht="29.1" customHeight="1">
      <c r="N276" s="774"/>
      <c r="O276" s="774"/>
      <c r="P276" s="774"/>
      <c r="Q276" s="774"/>
      <c r="R276" s="774"/>
      <c r="S276" s="774"/>
    </row>
    <row r="277" spans="14:19" ht="29.1" customHeight="1">
      <c r="N277" s="774"/>
      <c r="O277" s="774"/>
      <c r="P277" s="774"/>
      <c r="Q277" s="774"/>
      <c r="R277" s="774"/>
      <c r="S277" s="774"/>
    </row>
    <row r="278" spans="14:19" ht="29.1" customHeight="1">
      <c r="N278" s="774"/>
      <c r="O278" s="774"/>
      <c r="P278" s="774"/>
      <c r="Q278" s="774"/>
      <c r="R278" s="774"/>
      <c r="S278" s="774"/>
    </row>
    <row r="279" spans="14:19" ht="29.1" customHeight="1">
      <c r="N279" s="774"/>
      <c r="O279" s="774"/>
      <c r="P279" s="774"/>
      <c r="Q279" s="774"/>
      <c r="R279" s="774"/>
      <c r="S279" s="774"/>
    </row>
    <row r="280" spans="14:19" ht="29.1" customHeight="1">
      <c r="N280" s="774"/>
      <c r="O280" s="774"/>
      <c r="P280" s="774"/>
      <c r="Q280" s="774"/>
      <c r="R280" s="774"/>
      <c r="S280" s="774"/>
    </row>
    <row r="281" spans="14:19" ht="29.1" customHeight="1">
      <c r="N281" s="774"/>
      <c r="O281" s="774"/>
      <c r="P281" s="774"/>
      <c r="Q281" s="774"/>
      <c r="R281" s="774"/>
      <c r="S281" s="774"/>
    </row>
    <row r="282" spans="14:19" ht="29.1" customHeight="1">
      <c r="N282" s="774"/>
      <c r="O282" s="774"/>
      <c r="P282" s="774"/>
      <c r="Q282" s="774"/>
      <c r="R282" s="774"/>
      <c r="S282" s="774"/>
    </row>
    <row r="283" spans="14:19" ht="29.1" customHeight="1">
      <c r="N283" s="774"/>
      <c r="O283" s="774"/>
      <c r="P283" s="774"/>
      <c r="Q283" s="774"/>
      <c r="R283" s="774"/>
      <c r="S283" s="774"/>
    </row>
    <row r="284" spans="14:19" ht="29.1" customHeight="1">
      <c r="N284" s="774"/>
      <c r="O284" s="774"/>
      <c r="P284" s="774"/>
      <c r="Q284" s="774"/>
      <c r="R284" s="774"/>
      <c r="S284" s="774"/>
    </row>
    <row r="285" spans="14:19" ht="29.1" customHeight="1">
      <c r="N285" s="774"/>
      <c r="O285" s="774"/>
      <c r="P285" s="774"/>
      <c r="Q285" s="774"/>
      <c r="R285" s="774"/>
      <c r="S285" s="774"/>
    </row>
    <row r="286" spans="14:19" ht="29.1" customHeight="1">
      <c r="N286" s="774"/>
      <c r="O286" s="774"/>
      <c r="P286" s="774"/>
      <c r="Q286" s="774"/>
      <c r="R286" s="774"/>
      <c r="S286" s="774"/>
    </row>
    <row r="287" spans="14:19" ht="29.1" customHeight="1">
      <c r="N287" s="774"/>
      <c r="O287" s="774"/>
      <c r="P287" s="774"/>
      <c r="Q287" s="774"/>
      <c r="R287" s="774"/>
      <c r="S287" s="774"/>
    </row>
    <row r="288" spans="14:19" ht="29.1" customHeight="1">
      <c r="N288" s="774"/>
      <c r="O288" s="774"/>
      <c r="P288" s="774"/>
      <c r="Q288" s="774"/>
      <c r="R288" s="774"/>
      <c r="S288" s="774"/>
    </row>
    <row r="289" spans="14:19" ht="29.1" customHeight="1">
      <c r="N289" s="774"/>
      <c r="O289" s="774"/>
      <c r="P289" s="774"/>
      <c r="Q289" s="774"/>
      <c r="R289" s="774"/>
      <c r="S289" s="774"/>
    </row>
    <row r="290" spans="14:19" ht="29.1" customHeight="1">
      <c r="N290" s="774"/>
      <c r="O290" s="774"/>
      <c r="P290" s="774"/>
      <c r="Q290" s="774"/>
      <c r="R290" s="774"/>
      <c r="S290" s="774"/>
    </row>
    <row r="291" spans="14:19" ht="29.1" customHeight="1">
      <c r="N291" s="774"/>
      <c r="O291" s="774"/>
      <c r="P291" s="774"/>
      <c r="Q291" s="774"/>
      <c r="R291" s="774"/>
      <c r="S291" s="774"/>
    </row>
    <row r="292" spans="14:19" ht="29.1" customHeight="1">
      <c r="N292" s="774"/>
      <c r="O292" s="774"/>
      <c r="P292" s="774"/>
      <c r="Q292" s="774"/>
      <c r="R292" s="774"/>
      <c r="S292" s="774"/>
    </row>
    <row r="293" spans="14:19" ht="29.1" customHeight="1">
      <c r="N293" s="774"/>
      <c r="O293" s="774"/>
      <c r="P293" s="774"/>
      <c r="Q293" s="774"/>
      <c r="R293" s="774"/>
      <c r="S293" s="774"/>
    </row>
    <row r="294" spans="14:19" ht="29.1" customHeight="1">
      <c r="N294" s="774"/>
      <c r="O294" s="774"/>
      <c r="P294" s="774"/>
      <c r="Q294" s="774"/>
      <c r="R294" s="774"/>
      <c r="S294" s="774"/>
    </row>
    <row r="295" spans="14:19" ht="29.1" customHeight="1">
      <c r="N295" s="774"/>
      <c r="O295" s="774"/>
      <c r="P295" s="774"/>
      <c r="Q295" s="774"/>
      <c r="R295" s="774"/>
      <c r="S295" s="774"/>
    </row>
    <row r="296" spans="14:19" ht="29.1" customHeight="1">
      <c r="N296" s="774"/>
      <c r="O296" s="774"/>
      <c r="P296" s="774"/>
      <c r="Q296" s="774"/>
      <c r="R296" s="774"/>
      <c r="S296" s="774"/>
    </row>
    <row r="297" spans="14:19" ht="29.1" customHeight="1">
      <c r="N297" s="774"/>
      <c r="O297" s="774"/>
      <c r="P297" s="774"/>
      <c r="Q297" s="774"/>
      <c r="R297" s="774"/>
      <c r="S297" s="774"/>
    </row>
    <row r="298" spans="14:19" ht="29.1" customHeight="1">
      <c r="N298" s="774"/>
      <c r="O298" s="774"/>
      <c r="P298" s="774"/>
      <c r="Q298" s="774"/>
      <c r="R298" s="774"/>
      <c r="S298" s="774"/>
    </row>
    <row r="299" spans="14:19" ht="29.1" customHeight="1">
      <c r="N299" s="774"/>
      <c r="O299" s="774"/>
      <c r="P299" s="774"/>
      <c r="Q299" s="774"/>
      <c r="R299" s="774"/>
      <c r="S299" s="774"/>
    </row>
    <row r="300" spans="14:19" ht="29.1" customHeight="1">
      <c r="N300" s="774"/>
      <c r="O300" s="774"/>
      <c r="P300" s="774"/>
      <c r="Q300" s="774"/>
      <c r="R300" s="774"/>
      <c r="S300" s="774"/>
    </row>
    <row r="301" spans="14:19" ht="29.1" customHeight="1">
      <c r="N301" s="774"/>
      <c r="O301" s="774"/>
      <c r="P301" s="774"/>
      <c r="Q301" s="774"/>
      <c r="R301" s="774"/>
      <c r="S301" s="774"/>
    </row>
    <row r="302" spans="14:19" ht="29.1" customHeight="1">
      <c r="N302" s="774"/>
      <c r="O302" s="774"/>
      <c r="P302" s="774"/>
      <c r="Q302" s="774"/>
      <c r="R302" s="774"/>
      <c r="S302" s="774"/>
    </row>
    <row r="303" spans="14:19" ht="29.1" customHeight="1">
      <c r="N303" s="774"/>
      <c r="O303" s="774"/>
      <c r="P303" s="774"/>
      <c r="Q303" s="774"/>
      <c r="R303" s="774"/>
      <c r="S303" s="774"/>
    </row>
    <row r="304" spans="14:19" ht="29.1" customHeight="1">
      <c r="N304" s="774"/>
      <c r="O304" s="774"/>
      <c r="P304" s="774"/>
      <c r="Q304" s="774"/>
      <c r="R304" s="774"/>
      <c r="S304" s="774"/>
    </row>
    <row r="305" spans="14:19" ht="29.1" customHeight="1">
      <c r="N305" s="774"/>
      <c r="O305" s="774"/>
      <c r="P305" s="774"/>
      <c r="Q305" s="774"/>
      <c r="R305" s="774"/>
      <c r="S305" s="774"/>
    </row>
    <row r="306" spans="14:19" ht="29.1" customHeight="1">
      <c r="N306" s="774"/>
      <c r="O306" s="774"/>
      <c r="P306" s="774"/>
      <c r="Q306" s="774"/>
      <c r="R306" s="774"/>
      <c r="S306" s="774"/>
    </row>
    <row r="307" spans="14:19" ht="29.1" customHeight="1">
      <c r="N307" s="774"/>
      <c r="O307" s="774"/>
      <c r="P307" s="774"/>
      <c r="Q307" s="774"/>
      <c r="R307" s="774"/>
      <c r="S307" s="774"/>
    </row>
    <row r="308" spans="14:19" ht="29.1" customHeight="1">
      <c r="N308" s="774"/>
      <c r="O308" s="774"/>
      <c r="P308" s="774"/>
      <c r="Q308" s="774"/>
      <c r="R308" s="774"/>
      <c r="S308" s="774"/>
    </row>
    <row r="309" spans="14:19" ht="29.1" customHeight="1">
      <c r="N309" s="774"/>
      <c r="O309" s="774"/>
      <c r="P309" s="774"/>
      <c r="Q309" s="774"/>
      <c r="R309" s="774"/>
      <c r="S309" s="774"/>
    </row>
    <row r="310" spans="14:19" ht="29.1" customHeight="1">
      <c r="N310" s="774"/>
      <c r="O310" s="774"/>
      <c r="P310" s="774"/>
      <c r="Q310" s="774"/>
      <c r="R310" s="774"/>
      <c r="S310" s="774"/>
    </row>
    <row r="311" spans="14:19" ht="29.1" customHeight="1">
      <c r="N311" s="774"/>
      <c r="O311" s="774"/>
      <c r="P311" s="774"/>
      <c r="Q311" s="774"/>
      <c r="R311" s="774"/>
      <c r="S311" s="774"/>
    </row>
    <row r="312" spans="14:19" ht="29.1" customHeight="1">
      <c r="N312" s="774"/>
      <c r="O312" s="774"/>
      <c r="P312" s="774"/>
      <c r="Q312" s="774"/>
      <c r="R312" s="774"/>
      <c r="S312" s="774"/>
    </row>
    <row r="313" spans="14:19" ht="29.1" customHeight="1">
      <c r="N313" s="774"/>
      <c r="O313" s="774"/>
      <c r="P313" s="774"/>
      <c r="Q313" s="774"/>
      <c r="R313" s="774"/>
      <c r="S313" s="774"/>
    </row>
    <row r="314" spans="14:19" ht="29.1" customHeight="1">
      <c r="N314" s="774"/>
      <c r="O314" s="774"/>
      <c r="P314" s="774"/>
      <c r="Q314" s="774"/>
      <c r="R314" s="774"/>
      <c r="S314" s="774"/>
    </row>
    <row r="315" spans="14:19" ht="29.1" customHeight="1">
      <c r="N315" s="774"/>
      <c r="O315" s="774"/>
      <c r="P315" s="774"/>
      <c r="Q315" s="774"/>
      <c r="R315" s="774"/>
      <c r="S315" s="774"/>
    </row>
    <row r="316" spans="14:19" ht="29.1" customHeight="1">
      <c r="N316" s="774"/>
      <c r="O316" s="774"/>
      <c r="P316" s="774"/>
      <c r="Q316" s="774"/>
      <c r="R316" s="774"/>
      <c r="S316" s="774"/>
    </row>
    <row r="317" spans="14:19" ht="29.1" customHeight="1">
      <c r="N317" s="774"/>
      <c r="O317" s="774"/>
      <c r="P317" s="774"/>
      <c r="Q317" s="774"/>
      <c r="R317" s="774"/>
      <c r="S317" s="774"/>
    </row>
    <row r="318" spans="14:19" ht="29.1" customHeight="1">
      <c r="N318" s="774"/>
      <c r="O318" s="774"/>
      <c r="P318" s="774"/>
      <c r="Q318" s="774"/>
      <c r="R318" s="774"/>
      <c r="S318" s="774"/>
    </row>
    <row r="319" spans="14:19" ht="29.1" customHeight="1">
      <c r="N319" s="774"/>
      <c r="O319" s="774"/>
      <c r="P319" s="774"/>
      <c r="Q319" s="774"/>
      <c r="R319" s="774"/>
      <c r="S319" s="774"/>
    </row>
    <row r="320" spans="14:19" ht="29.1" customHeight="1">
      <c r="N320" s="774"/>
      <c r="O320" s="774"/>
      <c r="P320" s="774"/>
      <c r="Q320" s="774"/>
      <c r="R320" s="774"/>
      <c r="S320" s="774"/>
    </row>
    <row r="321" spans="14:19" ht="29.1" customHeight="1">
      <c r="N321" s="774"/>
      <c r="O321" s="774"/>
      <c r="P321" s="774"/>
      <c r="Q321" s="774"/>
      <c r="R321" s="774"/>
      <c r="S321" s="774"/>
    </row>
    <row r="322" spans="14:19" ht="29.1" customHeight="1">
      <c r="N322" s="774"/>
      <c r="O322" s="774"/>
      <c r="P322" s="774"/>
      <c r="Q322" s="774"/>
      <c r="R322" s="774"/>
      <c r="S322" s="774"/>
    </row>
    <row r="323" spans="14:19" ht="29.1" customHeight="1">
      <c r="N323" s="774"/>
      <c r="O323" s="774"/>
      <c r="P323" s="774"/>
      <c r="Q323" s="774"/>
      <c r="R323" s="774"/>
      <c r="S323" s="774"/>
    </row>
    <row r="324" spans="14:19" ht="29.1" customHeight="1">
      <c r="N324" s="774"/>
      <c r="O324" s="774"/>
      <c r="P324" s="774"/>
      <c r="Q324" s="774"/>
      <c r="R324" s="774"/>
      <c r="S324" s="774"/>
    </row>
    <row r="325" spans="14:19" ht="29.1" customHeight="1">
      <c r="N325" s="774"/>
      <c r="O325" s="774"/>
      <c r="P325" s="774"/>
      <c r="Q325" s="774"/>
      <c r="R325" s="774"/>
      <c r="S325" s="774"/>
    </row>
    <row r="326" spans="14:19" ht="29.1" customHeight="1">
      <c r="N326" s="774"/>
      <c r="O326" s="774"/>
      <c r="P326" s="774"/>
      <c r="Q326" s="774"/>
      <c r="R326" s="774"/>
      <c r="S326" s="774"/>
    </row>
    <row r="327" spans="14:19" ht="29.1" customHeight="1">
      <c r="N327" s="774"/>
      <c r="O327" s="774"/>
      <c r="P327" s="774"/>
      <c r="Q327" s="774"/>
      <c r="R327" s="774"/>
      <c r="S327" s="774"/>
    </row>
    <row r="328" spans="14:19" ht="29.1" customHeight="1">
      <c r="N328" s="774"/>
      <c r="O328" s="774"/>
      <c r="P328" s="774"/>
      <c r="Q328" s="774"/>
      <c r="R328" s="774"/>
      <c r="S328" s="774"/>
    </row>
    <row r="329" spans="14:19" ht="29.1" customHeight="1">
      <c r="N329" s="774"/>
      <c r="O329" s="774"/>
      <c r="P329" s="774"/>
      <c r="Q329" s="774"/>
      <c r="R329" s="774"/>
      <c r="S329" s="774"/>
    </row>
    <row r="330" spans="14:19" ht="29.1" customHeight="1">
      <c r="N330" s="774"/>
      <c r="O330" s="774"/>
      <c r="P330" s="774"/>
      <c r="Q330" s="774"/>
      <c r="R330" s="774"/>
      <c r="S330" s="774"/>
    </row>
    <row r="331" spans="14:19" ht="29.1" customHeight="1">
      <c r="N331" s="774"/>
      <c r="O331" s="774"/>
      <c r="P331" s="774"/>
      <c r="Q331" s="774"/>
      <c r="R331" s="774"/>
      <c r="S331" s="774"/>
    </row>
    <row r="332" spans="14:19" ht="29.1" customHeight="1">
      <c r="N332" s="774"/>
      <c r="O332" s="774"/>
      <c r="P332" s="774"/>
      <c r="Q332" s="774"/>
      <c r="R332" s="774"/>
      <c r="S332" s="774"/>
    </row>
    <row r="333" spans="14:19" ht="29.1" customHeight="1">
      <c r="N333" s="774"/>
      <c r="O333" s="774"/>
      <c r="P333" s="774"/>
      <c r="Q333" s="774"/>
      <c r="R333" s="774"/>
      <c r="S333" s="774"/>
    </row>
    <row r="334" spans="14:19" ht="29.1" customHeight="1">
      <c r="N334" s="774"/>
      <c r="O334" s="774"/>
      <c r="P334" s="774"/>
      <c r="Q334" s="774"/>
      <c r="R334" s="774"/>
      <c r="S334" s="774"/>
    </row>
    <row r="335" spans="14:19" ht="29.1" customHeight="1">
      <c r="N335" s="774"/>
      <c r="O335" s="774"/>
      <c r="P335" s="774"/>
      <c r="Q335" s="774"/>
      <c r="R335" s="774"/>
      <c r="S335" s="774"/>
    </row>
    <row r="336" spans="14:19" ht="29.1" customHeight="1">
      <c r="N336" s="774"/>
      <c r="O336" s="774"/>
      <c r="P336" s="774"/>
      <c r="Q336" s="774"/>
      <c r="R336" s="774"/>
      <c r="S336" s="774"/>
    </row>
    <row r="337" spans="14:19" ht="29.1" customHeight="1">
      <c r="N337" s="774"/>
      <c r="O337" s="774"/>
      <c r="P337" s="774"/>
      <c r="Q337" s="774"/>
      <c r="R337" s="774"/>
      <c r="S337" s="774"/>
    </row>
    <row r="338" spans="14:19" ht="29.1" customHeight="1">
      <c r="N338" s="774"/>
      <c r="O338" s="774"/>
      <c r="P338" s="774"/>
      <c r="Q338" s="774"/>
      <c r="R338" s="774"/>
      <c r="S338" s="774"/>
    </row>
    <row r="339" spans="14:19" ht="29.1" customHeight="1">
      <c r="N339" s="774"/>
      <c r="O339" s="774"/>
      <c r="P339" s="774"/>
      <c r="Q339" s="774"/>
      <c r="R339" s="774"/>
      <c r="S339" s="774"/>
    </row>
    <row r="340" spans="14:19" ht="29.1" customHeight="1">
      <c r="N340" s="774"/>
      <c r="O340" s="774"/>
      <c r="P340" s="774"/>
      <c r="Q340" s="774"/>
      <c r="R340" s="774"/>
      <c r="S340" s="774"/>
    </row>
    <row r="341" spans="14:19" ht="29.1" customHeight="1">
      <c r="N341" s="774"/>
      <c r="O341" s="774"/>
      <c r="P341" s="774"/>
      <c r="Q341" s="774"/>
      <c r="R341" s="774"/>
      <c r="S341" s="774"/>
    </row>
    <row r="342" spans="14:19" ht="29.1" customHeight="1">
      <c r="N342" s="774"/>
      <c r="O342" s="774"/>
      <c r="P342" s="774"/>
      <c r="Q342" s="774"/>
      <c r="R342" s="774"/>
      <c r="S342" s="774"/>
    </row>
    <row r="343" spans="14:19" ht="29.1" customHeight="1">
      <c r="N343" s="774"/>
      <c r="O343" s="774"/>
      <c r="P343" s="774"/>
      <c r="Q343" s="774"/>
      <c r="R343" s="774"/>
      <c r="S343" s="774"/>
    </row>
    <row r="344" spans="14:19" ht="29.1" customHeight="1">
      <c r="N344" s="774"/>
      <c r="O344" s="774"/>
      <c r="P344" s="774"/>
      <c r="Q344" s="774"/>
      <c r="R344" s="774"/>
      <c r="S344" s="774"/>
    </row>
    <row r="345" spans="14:19" ht="29.1" customHeight="1">
      <c r="N345" s="774"/>
      <c r="O345" s="774"/>
      <c r="P345" s="774"/>
      <c r="Q345" s="774"/>
      <c r="R345" s="774"/>
      <c r="S345" s="774"/>
    </row>
    <row r="346" spans="14:19" ht="29.1" customHeight="1">
      <c r="N346" s="774"/>
      <c r="O346" s="774"/>
      <c r="P346" s="774"/>
      <c r="Q346" s="774"/>
      <c r="R346" s="774"/>
      <c r="S346" s="774"/>
    </row>
    <row r="347" spans="14:19" ht="29.1" customHeight="1">
      <c r="N347" s="774"/>
      <c r="O347" s="774"/>
      <c r="P347" s="774"/>
      <c r="Q347" s="774"/>
      <c r="R347" s="774"/>
      <c r="S347" s="774"/>
    </row>
    <row r="348" spans="14:19" ht="29.1" customHeight="1">
      <c r="N348" s="774"/>
      <c r="O348" s="774"/>
      <c r="P348" s="774"/>
      <c r="Q348" s="774"/>
      <c r="R348" s="774"/>
      <c r="S348" s="774"/>
    </row>
    <row r="349" spans="14:19" ht="29.1" customHeight="1">
      <c r="N349" s="774"/>
      <c r="O349" s="774"/>
      <c r="P349" s="774"/>
      <c r="Q349" s="774"/>
      <c r="R349" s="774"/>
      <c r="S349" s="774"/>
    </row>
    <row r="350" spans="14:19" ht="29.1" customHeight="1">
      <c r="N350" s="774"/>
      <c r="O350" s="774"/>
      <c r="P350" s="774"/>
      <c r="Q350" s="774"/>
      <c r="R350" s="774"/>
      <c r="S350" s="774"/>
    </row>
    <row r="351" spans="14:19" ht="29.1" customHeight="1">
      <c r="N351" s="774"/>
      <c r="O351" s="774"/>
      <c r="P351" s="774"/>
      <c r="Q351" s="774"/>
      <c r="R351" s="774"/>
      <c r="S351" s="774"/>
    </row>
    <row r="352" spans="14:19" ht="29.1" customHeight="1">
      <c r="N352" s="774"/>
      <c r="O352" s="774"/>
      <c r="P352" s="774"/>
      <c r="Q352" s="774"/>
      <c r="R352" s="774"/>
      <c r="S352" s="774"/>
    </row>
    <row r="353" spans="14:19" ht="29.1" customHeight="1">
      <c r="N353" s="774"/>
      <c r="O353" s="774"/>
      <c r="P353" s="774"/>
      <c r="Q353" s="774"/>
      <c r="R353" s="774"/>
      <c r="S353" s="774"/>
    </row>
    <row r="354" spans="14:19" ht="29.1" customHeight="1">
      <c r="N354" s="774"/>
      <c r="O354" s="774"/>
      <c r="P354" s="774"/>
      <c r="Q354" s="774"/>
      <c r="R354" s="774"/>
      <c r="S354" s="774"/>
    </row>
    <row r="355" spans="14:19" ht="29.1" customHeight="1">
      <c r="N355" s="774"/>
      <c r="O355" s="774"/>
      <c r="P355" s="774"/>
      <c r="Q355" s="774"/>
      <c r="R355" s="774"/>
      <c r="S355" s="774"/>
    </row>
    <row r="356" spans="14:19" ht="29.1" customHeight="1">
      <c r="N356" s="774"/>
      <c r="O356" s="774"/>
      <c r="P356" s="774"/>
      <c r="Q356" s="774"/>
      <c r="R356" s="774"/>
      <c r="S356" s="774"/>
    </row>
    <row r="357" spans="14:19" ht="29.1" customHeight="1">
      <c r="N357" s="774"/>
      <c r="O357" s="774"/>
      <c r="P357" s="774"/>
      <c r="Q357" s="774"/>
      <c r="R357" s="774"/>
      <c r="S357" s="774"/>
    </row>
    <row r="358" spans="14:19" ht="29.1" customHeight="1">
      <c r="N358" s="774"/>
      <c r="O358" s="774"/>
      <c r="P358" s="774"/>
      <c r="Q358" s="774"/>
      <c r="R358" s="774"/>
      <c r="S358" s="774"/>
    </row>
    <row r="359" spans="14:19" ht="29.1" customHeight="1">
      <c r="N359" s="774"/>
      <c r="O359" s="774"/>
      <c r="P359" s="774"/>
      <c r="Q359" s="774"/>
      <c r="R359" s="774"/>
      <c r="S359" s="774"/>
    </row>
    <row r="360" spans="14:19" ht="29.1" customHeight="1">
      <c r="N360" s="774"/>
      <c r="O360" s="774"/>
      <c r="P360" s="774"/>
      <c r="Q360" s="774"/>
      <c r="R360" s="774"/>
      <c r="S360" s="774"/>
    </row>
    <row r="361" spans="14:19" ht="29.1" customHeight="1">
      <c r="N361" s="774"/>
      <c r="O361" s="774"/>
      <c r="P361" s="774"/>
      <c r="Q361" s="774"/>
      <c r="R361" s="774"/>
      <c r="S361" s="774"/>
    </row>
    <row r="362" spans="14:19" ht="29.1" customHeight="1">
      <c r="N362" s="774"/>
      <c r="O362" s="774"/>
      <c r="P362" s="774"/>
      <c r="Q362" s="774"/>
      <c r="R362" s="774"/>
      <c r="S362" s="774"/>
    </row>
    <row r="363" spans="14:19" ht="29.1" customHeight="1">
      <c r="N363" s="774"/>
      <c r="O363" s="774"/>
      <c r="P363" s="774"/>
      <c r="Q363" s="774"/>
      <c r="R363" s="774"/>
      <c r="S363" s="774"/>
    </row>
    <row r="364" spans="14:19" ht="29.1" customHeight="1">
      <c r="N364" s="774"/>
      <c r="O364" s="774"/>
      <c r="P364" s="774"/>
      <c r="Q364" s="774"/>
      <c r="R364" s="774"/>
      <c r="S364" s="774"/>
    </row>
    <row r="365" spans="14:19" ht="29.1" customHeight="1">
      <c r="N365" s="774"/>
      <c r="O365" s="774"/>
      <c r="P365" s="774"/>
      <c r="Q365" s="774"/>
      <c r="R365" s="774"/>
      <c r="S365" s="774"/>
    </row>
    <row r="366" spans="14:19" ht="29.1" customHeight="1">
      <c r="N366" s="774"/>
      <c r="O366" s="774"/>
      <c r="P366" s="774"/>
      <c r="Q366" s="774"/>
      <c r="R366" s="774"/>
      <c r="S366" s="774"/>
    </row>
    <row r="367" spans="14:19" ht="29.1" customHeight="1">
      <c r="N367" s="774"/>
      <c r="O367" s="774"/>
      <c r="P367" s="774"/>
      <c r="Q367" s="774"/>
      <c r="R367" s="774"/>
      <c r="S367" s="774"/>
    </row>
    <row r="368" spans="14:19" ht="29.1" customHeight="1">
      <c r="N368" s="774"/>
      <c r="O368" s="774"/>
      <c r="P368" s="774"/>
      <c r="Q368" s="774"/>
      <c r="R368" s="774"/>
      <c r="S368" s="774"/>
    </row>
    <row r="369" spans="14:19" ht="29.1" customHeight="1">
      <c r="N369" s="774"/>
      <c r="O369" s="774"/>
      <c r="P369" s="774"/>
      <c r="Q369" s="774"/>
      <c r="R369" s="774"/>
      <c r="S369" s="774"/>
    </row>
    <row r="370" spans="14:19" ht="29.1" customHeight="1">
      <c r="N370" s="774"/>
      <c r="O370" s="774"/>
      <c r="P370" s="774"/>
      <c r="Q370" s="774"/>
      <c r="R370" s="774"/>
      <c r="S370" s="774"/>
    </row>
    <row r="371" spans="14:19" ht="29.1" customHeight="1">
      <c r="N371" s="774"/>
      <c r="O371" s="774"/>
      <c r="P371" s="774"/>
      <c r="Q371" s="774"/>
      <c r="R371" s="774"/>
      <c r="S371" s="774"/>
    </row>
    <row r="372" spans="14:19" ht="29.1" customHeight="1">
      <c r="N372" s="774"/>
      <c r="O372" s="774"/>
      <c r="P372" s="774"/>
      <c r="Q372" s="774"/>
      <c r="R372" s="774"/>
      <c r="S372" s="774"/>
    </row>
    <row r="373" spans="14:19" ht="29.1" customHeight="1">
      <c r="N373" s="774"/>
      <c r="O373" s="774"/>
      <c r="P373" s="774"/>
      <c r="Q373" s="774"/>
      <c r="R373" s="774"/>
      <c r="S373" s="774"/>
    </row>
    <row r="374" spans="14:19" ht="29.1" customHeight="1">
      <c r="N374" s="774"/>
      <c r="O374" s="774"/>
      <c r="P374" s="774"/>
      <c r="Q374" s="774"/>
      <c r="R374" s="774"/>
      <c r="S374" s="774"/>
    </row>
    <row r="375" spans="14:19" ht="29.1" customHeight="1">
      <c r="N375" s="774"/>
      <c r="O375" s="774"/>
      <c r="P375" s="774"/>
      <c r="Q375" s="774"/>
      <c r="R375" s="774"/>
      <c r="S375" s="774"/>
    </row>
    <row r="376" spans="14:19" ht="29.1" customHeight="1">
      <c r="N376" s="774"/>
      <c r="O376" s="774"/>
      <c r="P376" s="774"/>
      <c r="Q376" s="774"/>
      <c r="R376" s="774"/>
      <c r="S376" s="774"/>
    </row>
    <row r="377" spans="14:19" ht="29.1" customHeight="1">
      <c r="N377" s="774"/>
      <c r="O377" s="774"/>
      <c r="P377" s="774"/>
      <c r="Q377" s="774"/>
      <c r="R377" s="774"/>
      <c r="S377" s="774"/>
    </row>
    <row r="378" spans="14:19" ht="29.1" customHeight="1">
      <c r="N378" s="774"/>
      <c r="O378" s="774"/>
      <c r="P378" s="774"/>
      <c r="Q378" s="774"/>
      <c r="R378" s="774"/>
      <c r="S378" s="774"/>
    </row>
    <row r="379" spans="14:19" ht="29.1" customHeight="1">
      <c r="N379" s="774"/>
      <c r="O379" s="774"/>
      <c r="P379" s="774"/>
      <c r="Q379" s="774"/>
      <c r="R379" s="774"/>
      <c r="S379" s="774"/>
    </row>
    <row r="380" spans="14:19" ht="29.1" customHeight="1">
      <c r="N380" s="774"/>
      <c r="O380" s="774"/>
      <c r="P380" s="774"/>
      <c r="Q380" s="774"/>
      <c r="R380" s="774"/>
      <c r="S380" s="774"/>
    </row>
    <row r="381" spans="14:19" ht="29.1" customHeight="1">
      <c r="N381" s="774"/>
      <c r="O381" s="774"/>
      <c r="P381" s="774"/>
      <c r="Q381" s="774"/>
      <c r="R381" s="774"/>
      <c r="S381" s="774"/>
    </row>
    <row r="382" spans="14:19" ht="29.1" customHeight="1">
      <c r="N382" s="774"/>
      <c r="O382" s="774"/>
      <c r="P382" s="774"/>
      <c r="Q382" s="774"/>
      <c r="R382" s="774"/>
      <c r="S382" s="774"/>
    </row>
    <row r="383" spans="14:19" ht="29.1" customHeight="1">
      <c r="N383" s="774"/>
      <c r="O383" s="774"/>
      <c r="P383" s="774"/>
      <c r="Q383" s="774"/>
      <c r="R383" s="774"/>
      <c r="S383" s="774"/>
    </row>
    <row r="384" spans="14:19" ht="29.1" customHeight="1">
      <c r="N384" s="774"/>
      <c r="O384" s="774"/>
      <c r="P384" s="774"/>
      <c r="Q384" s="774"/>
      <c r="R384" s="774"/>
      <c r="S384" s="774"/>
    </row>
    <row r="385" spans="14:19" ht="29.1" customHeight="1">
      <c r="N385" s="774"/>
      <c r="O385" s="774"/>
      <c r="P385" s="774"/>
      <c r="Q385" s="774"/>
      <c r="R385" s="774"/>
      <c r="S385" s="774"/>
    </row>
    <row r="386" spans="14:19" ht="29.1" customHeight="1">
      <c r="N386" s="774"/>
      <c r="O386" s="774"/>
      <c r="P386" s="774"/>
      <c r="Q386" s="774"/>
      <c r="R386" s="774"/>
      <c r="S386" s="774"/>
    </row>
    <row r="387" spans="14:19" ht="29.1" customHeight="1">
      <c r="N387" s="774"/>
      <c r="O387" s="774"/>
      <c r="P387" s="774"/>
      <c r="Q387" s="774"/>
      <c r="R387" s="774"/>
      <c r="S387" s="774"/>
    </row>
    <row r="388" spans="14:19" ht="29.1" customHeight="1">
      <c r="N388" s="774"/>
      <c r="O388" s="774"/>
      <c r="P388" s="774"/>
      <c r="Q388" s="774"/>
      <c r="R388" s="774"/>
      <c r="S388" s="774"/>
    </row>
    <row r="389" spans="14:19" ht="29.1" customHeight="1">
      <c r="N389" s="774"/>
      <c r="O389" s="774"/>
      <c r="P389" s="774"/>
      <c r="Q389" s="774"/>
      <c r="R389" s="774"/>
      <c r="S389" s="774"/>
    </row>
    <row r="390" spans="14:19" ht="29.1" customHeight="1">
      <c r="N390" s="774"/>
      <c r="O390" s="774"/>
      <c r="P390" s="774"/>
      <c r="Q390" s="774"/>
      <c r="R390" s="774"/>
      <c r="S390" s="774"/>
    </row>
    <row r="391" spans="14:19" ht="29.1" customHeight="1">
      <c r="N391" s="774"/>
      <c r="O391" s="774"/>
      <c r="P391" s="774"/>
      <c r="Q391" s="774"/>
      <c r="R391" s="774"/>
      <c r="S391" s="774"/>
    </row>
    <row r="392" spans="14:19" ht="29.1" customHeight="1">
      <c r="N392" s="774"/>
      <c r="O392" s="774"/>
      <c r="P392" s="774"/>
      <c r="Q392" s="774"/>
      <c r="R392" s="774"/>
      <c r="S392" s="774"/>
    </row>
    <row r="393" spans="14:19" ht="29.1" customHeight="1">
      <c r="N393" s="774"/>
      <c r="O393" s="774"/>
      <c r="P393" s="774"/>
      <c r="Q393" s="774"/>
      <c r="R393" s="774"/>
      <c r="S393" s="774"/>
    </row>
    <row r="394" spans="14:19" ht="29.1" customHeight="1">
      <c r="N394" s="774"/>
      <c r="O394" s="774"/>
      <c r="P394" s="774"/>
      <c r="Q394" s="774"/>
      <c r="R394" s="774"/>
      <c r="S394" s="774"/>
    </row>
    <row r="395" spans="14:19" ht="29.1" customHeight="1">
      <c r="N395" s="774"/>
      <c r="O395" s="774"/>
      <c r="P395" s="774"/>
      <c r="Q395" s="774"/>
      <c r="R395" s="774"/>
      <c r="S395" s="774"/>
    </row>
    <row r="396" spans="14:19" ht="29.1" customHeight="1">
      <c r="N396" s="774"/>
      <c r="O396" s="774"/>
      <c r="P396" s="774"/>
      <c r="Q396" s="774"/>
      <c r="R396" s="774"/>
      <c r="S396" s="774"/>
    </row>
    <row r="397" spans="14:19" ht="29.1" customHeight="1">
      <c r="N397" s="774"/>
      <c r="O397" s="774"/>
      <c r="P397" s="774"/>
      <c r="Q397" s="774"/>
      <c r="R397" s="774"/>
      <c r="S397" s="774"/>
    </row>
    <row r="398" spans="14:19" ht="29.1" customHeight="1">
      <c r="N398" s="774"/>
      <c r="O398" s="774"/>
      <c r="P398" s="774"/>
      <c r="Q398" s="774"/>
      <c r="R398" s="774"/>
      <c r="S398" s="774"/>
    </row>
    <row r="399" spans="14:19" ht="29.1" customHeight="1">
      <c r="N399" s="774"/>
      <c r="O399" s="774"/>
      <c r="P399" s="774"/>
      <c r="Q399" s="774"/>
      <c r="R399" s="774"/>
      <c r="S399" s="774"/>
    </row>
    <row r="400" spans="14:19" ht="29.1" customHeight="1">
      <c r="N400" s="774"/>
      <c r="O400" s="774"/>
      <c r="P400" s="774"/>
      <c r="Q400" s="774"/>
      <c r="R400" s="774"/>
      <c r="S400" s="774"/>
    </row>
    <row r="401" spans="14:19" ht="29.1" customHeight="1">
      <c r="N401" s="774"/>
      <c r="O401" s="774"/>
      <c r="P401" s="774"/>
      <c r="Q401" s="774"/>
      <c r="R401" s="774"/>
      <c r="S401" s="774"/>
    </row>
    <row r="402" spans="14:19" ht="29.1" customHeight="1">
      <c r="N402" s="774"/>
      <c r="O402" s="774"/>
      <c r="P402" s="774"/>
      <c r="Q402" s="774"/>
      <c r="R402" s="774"/>
      <c r="S402" s="774"/>
    </row>
    <row r="403" spans="14:19" ht="29.1" customHeight="1">
      <c r="N403" s="774"/>
      <c r="O403" s="774"/>
      <c r="P403" s="774"/>
      <c r="Q403" s="774"/>
      <c r="R403" s="774"/>
      <c r="S403" s="774"/>
    </row>
    <row r="404" spans="14:19" ht="29.1" customHeight="1">
      <c r="N404" s="774"/>
      <c r="O404" s="774"/>
      <c r="P404" s="774"/>
      <c r="Q404" s="774"/>
      <c r="R404" s="774"/>
      <c r="S404" s="774"/>
    </row>
    <row r="405" spans="14:19" ht="29.1" customHeight="1">
      <c r="N405" s="774"/>
      <c r="O405" s="774"/>
      <c r="P405" s="774"/>
      <c r="Q405" s="774"/>
      <c r="R405" s="774"/>
      <c r="S405" s="774"/>
    </row>
    <row r="406" spans="14:19" ht="29.1" customHeight="1">
      <c r="N406" s="774"/>
      <c r="O406" s="774"/>
      <c r="P406" s="774"/>
      <c r="Q406" s="774"/>
      <c r="R406" s="774"/>
      <c r="S406" s="774"/>
    </row>
    <row r="407" spans="14:19" ht="29.1" customHeight="1">
      <c r="N407" s="774"/>
      <c r="O407" s="774"/>
      <c r="P407" s="774"/>
      <c r="Q407" s="774"/>
      <c r="R407" s="774"/>
      <c r="S407" s="774"/>
    </row>
    <row r="408" spans="14:19" ht="29.1" customHeight="1">
      <c r="N408" s="774"/>
      <c r="O408" s="774"/>
      <c r="P408" s="774"/>
      <c r="Q408" s="774"/>
      <c r="R408" s="774"/>
      <c r="S408" s="774"/>
    </row>
    <row r="409" spans="14:19" ht="29.1" customHeight="1">
      <c r="N409" s="774"/>
      <c r="O409" s="774"/>
      <c r="P409" s="774"/>
      <c r="Q409" s="774"/>
      <c r="R409" s="774"/>
      <c r="S409" s="774"/>
    </row>
    <row r="410" spans="14:19" ht="29.1" customHeight="1">
      <c r="N410" s="774"/>
      <c r="O410" s="774"/>
      <c r="P410" s="774"/>
      <c r="Q410" s="774"/>
      <c r="R410" s="774"/>
      <c r="S410" s="774"/>
    </row>
    <row r="411" spans="14:19" ht="29.1" customHeight="1">
      <c r="N411" s="774"/>
      <c r="O411" s="774"/>
      <c r="P411" s="774"/>
      <c r="Q411" s="774"/>
      <c r="R411" s="774"/>
      <c r="S411" s="774"/>
    </row>
    <row r="412" spans="14:19" ht="29.1" customHeight="1">
      <c r="N412" s="774"/>
      <c r="O412" s="774"/>
      <c r="P412" s="774"/>
      <c r="Q412" s="774"/>
      <c r="R412" s="774"/>
      <c r="S412" s="774"/>
    </row>
    <row r="413" spans="14:19" ht="29.1" customHeight="1">
      <c r="N413" s="774"/>
      <c r="O413" s="774"/>
      <c r="P413" s="774"/>
      <c r="Q413" s="774"/>
      <c r="R413" s="774"/>
      <c r="S413" s="774"/>
    </row>
    <row r="414" spans="14:19" ht="29.1" customHeight="1">
      <c r="N414" s="774"/>
      <c r="O414" s="774"/>
      <c r="P414" s="774"/>
      <c r="Q414" s="774"/>
      <c r="R414" s="774"/>
      <c r="S414" s="774"/>
    </row>
    <row r="415" spans="14:19" ht="29.1" customHeight="1">
      <c r="N415" s="774"/>
      <c r="O415" s="774"/>
      <c r="P415" s="774"/>
      <c r="Q415" s="774"/>
      <c r="R415" s="774"/>
      <c r="S415" s="774"/>
    </row>
    <row r="416" spans="14:19" ht="29.1" customHeight="1">
      <c r="N416" s="774"/>
      <c r="O416" s="774"/>
      <c r="P416" s="774"/>
      <c r="Q416" s="774"/>
      <c r="R416" s="774"/>
      <c r="S416" s="774"/>
    </row>
    <row r="417" spans="14:19" ht="29.1" customHeight="1">
      <c r="N417" s="774"/>
      <c r="O417" s="774"/>
      <c r="P417" s="774"/>
      <c r="Q417" s="774"/>
      <c r="R417" s="774"/>
      <c r="S417" s="774"/>
    </row>
    <row r="418" spans="14:19" ht="29.1" customHeight="1">
      <c r="N418" s="774"/>
      <c r="O418" s="774"/>
      <c r="P418" s="774"/>
      <c r="Q418" s="774"/>
      <c r="R418" s="774"/>
      <c r="S418" s="774"/>
    </row>
    <row r="419" spans="14:19" ht="29.1" customHeight="1">
      <c r="N419" s="774"/>
      <c r="O419" s="774"/>
      <c r="P419" s="774"/>
      <c r="Q419" s="774"/>
      <c r="R419" s="774"/>
      <c r="S419" s="774"/>
    </row>
    <row r="420" spans="14:19" ht="29.1" customHeight="1">
      <c r="N420" s="774"/>
      <c r="O420" s="774"/>
      <c r="P420" s="774"/>
      <c r="Q420" s="774"/>
      <c r="R420" s="774"/>
      <c r="S420" s="774"/>
    </row>
    <row r="421" spans="14:19" ht="29.1" customHeight="1">
      <c r="N421" s="774"/>
      <c r="O421" s="774"/>
      <c r="P421" s="774"/>
      <c r="Q421" s="774"/>
      <c r="R421" s="774"/>
      <c r="S421" s="774"/>
    </row>
    <row r="422" spans="14:19" ht="29.1" customHeight="1">
      <c r="N422" s="774"/>
      <c r="O422" s="774"/>
      <c r="P422" s="774"/>
      <c r="Q422" s="774"/>
      <c r="R422" s="774"/>
      <c r="S422" s="774"/>
    </row>
    <row r="423" spans="14:19" ht="29.1" customHeight="1">
      <c r="N423" s="774"/>
      <c r="O423" s="774"/>
      <c r="P423" s="774"/>
      <c r="Q423" s="774"/>
      <c r="R423" s="774"/>
      <c r="S423" s="774"/>
    </row>
    <row r="424" spans="14:19" ht="29.1" customHeight="1">
      <c r="N424" s="774"/>
      <c r="O424" s="774"/>
      <c r="P424" s="774"/>
      <c r="Q424" s="774"/>
      <c r="R424" s="774"/>
      <c r="S424" s="774"/>
    </row>
    <row r="425" spans="14:19" ht="29.1" customHeight="1">
      <c r="N425" s="774"/>
      <c r="O425" s="774"/>
      <c r="P425" s="774"/>
      <c r="Q425" s="774"/>
      <c r="R425" s="774"/>
      <c r="S425" s="774"/>
    </row>
    <row r="426" spans="14:19" ht="29.1" customHeight="1">
      <c r="N426" s="774"/>
      <c r="O426" s="774"/>
      <c r="P426" s="774"/>
      <c r="Q426" s="774"/>
      <c r="R426" s="774"/>
      <c r="S426" s="774"/>
    </row>
    <row r="427" spans="14:19" ht="29.1" customHeight="1">
      <c r="N427" s="774"/>
      <c r="O427" s="774"/>
      <c r="P427" s="774"/>
      <c r="Q427" s="774"/>
      <c r="R427" s="774"/>
      <c r="S427" s="774"/>
    </row>
    <row r="428" spans="14:19" ht="29.1" customHeight="1">
      <c r="N428" s="774"/>
      <c r="O428" s="774"/>
      <c r="P428" s="774"/>
      <c r="Q428" s="774"/>
      <c r="R428" s="774"/>
      <c r="S428" s="774"/>
    </row>
    <row r="429" spans="14:19" ht="29.1" customHeight="1">
      <c r="N429" s="774"/>
      <c r="O429" s="774"/>
      <c r="P429" s="774"/>
      <c r="Q429" s="774"/>
      <c r="R429" s="774"/>
      <c r="S429" s="774"/>
    </row>
    <row r="430" spans="14:19" ht="29.1" customHeight="1">
      <c r="N430" s="774"/>
      <c r="O430" s="774"/>
      <c r="P430" s="774"/>
      <c r="Q430" s="774"/>
      <c r="R430" s="774"/>
      <c r="S430" s="774"/>
    </row>
    <row r="431" spans="14:19" ht="29.1" customHeight="1">
      <c r="N431" s="774"/>
      <c r="O431" s="774"/>
      <c r="P431" s="774"/>
      <c r="Q431" s="774"/>
      <c r="R431" s="774"/>
      <c r="S431" s="774"/>
    </row>
    <row r="432" spans="14:19" ht="29.1" customHeight="1">
      <c r="N432" s="774"/>
      <c r="O432" s="774"/>
      <c r="P432" s="774"/>
      <c r="Q432" s="774"/>
      <c r="R432" s="774"/>
      <c r="S432" s="774"/>
    </row>
    <row r="433" spans="14:19" ht="29.1" customHeight="1">
      <c r="N433" s="774"/>
      <c r="O433" s="774"/>
      <c r="P433" s="774"/>
      <c r="Q433" s="774"/>
      <c r="R433" s="774"/>
      <c r="S433" s="774"/>
    </row>
    <row r="434" spans="14:19" ht="29.1" customHeight="1">
      <c r="N434" s="774"/>
      <c r="O434" s="774"/>
      <c r="P434" s="774"/>
      <c r="Q434" s="774"/>
      <c r="R434" s="774"/>
      <c r="S434" s="774"/>
    </row>
    <row r="435" spans="14:19" ht="29.1" customHeight="1">
      <c r="N435" s="774"/>
      <c r="O435" s="774"/>
      <c r="P435" s="774"/>
      <c r="Q435" s="774"/>
      <c r="R435" s="774"/>
      <c r="S435" s="774"/>
    </row>
    <row r="436" spans="14:19" ht="29.1" customHeight="1">
      <c r="N436" s="774"/>
      <c r="O436" s="774"/>
      <c r="P436" s="774"/>
      <c r="Q436" s="774"/>
      <c r="R436" s="774"/>
      <c r="S436" s="774"/>
    </row>
    <row r="437" spans="14:19" ht="29.1" customHeight="1">
      <c r="N437" s="774"/>
      <c r="O437" s="774"/>
      <c r="P437" s="774"/>
      <c r="Q437" s="774"/>
      <c r="R437" s="774"/>
      <c r="S437" s="774"/>
    </row>
    <row r="438" spans="14:19" ht="29.1" customHeight="1">
      <c r="N438" s="774"/>
      <c r="O438" s="774"/>
      <c r="P438" s="774"/>
      <c r="Q438" s="774"/>
      <c r="R438" s="774"/>
      <c r="S438" s="774"/>
    </row>
    <row r="439" spans="14:19" ht="29.1" customHeight="1">
      <c r="N439" s="774"/>
      <c r="O439" s="774"/>
      <c r="P439" s="774"/>
      <c r="Q439" s="774"/>
      <c r="R439" s="774"/>
      <c r="S439" s="774"/>
    </row>
    <row r="440" spans="14:19" ht="29.1" customHeight="1">
      <c r="N440" s="774"/>
      <c r="O440" s="774"/>
      <c r="P440" s="774"/>
      <c r="Q440" s="774"/>
      <c r="R440" s="774"/>
      <c r="S440" s="774"/>
    </row>
    <row r="441" spans="14:19" ht="29.1" customHeight="1">
      <c r="N441" s="774"/>
      <c r="O441" s="774"/>
      <c r="P441" s="774"/>
      <c r="Q441" s="774"/>
      <c r="R441" s="774"/>
      <c r="S441" s="774"/>
    </row>
    <row r="442" spans="14:19" ht="29.1" customHeight="1">
      <c r="N442" s="774"/>
      <c r="O442" s="774"/>
      <c r="P442" s="774"/>
      <c r="Q442" s="774"/>
      <c r="R442" s="774"/>
      <c r="S442" s="774"/>
    </row>
    <row r="443" spans="14:19" ht="29.1" customHeight="1">
      <c r="N443" s="774"/>
      <c r="O443" s="774"/>
      <c r="P443" s="774"/>
      <c r="Q443" s="774"/>
      <c r="R443" s="774"/>
      <c r="S443" s="774"/>
    </row>
    <row r="444" spans="14:19" ht="29.1" customHeight="1">
      <c r="N444" s="774"/>
      <c r="O444" s="774"/>
      <c r="P444" s="774"/>
      <c r="Q444" s="774"/>
      <c r="R444" s="774"/>
      <c r="S444" s="774"/>
    </row>
    <row r="445" spans="14:19" ht="29.1" customHeight="1">
      <c r="N445" s="774"/>
      <c r="O445" s="774"/>
      <c r="P445" s="774"/>
      <c r="Q445" s="774"/>
      <c r="R445" s="774"/>
      <c r="S445" s="774"/>
    </row>
    <row r="446" spans="14:19" ht="29.1" customHeight="1">
      <c r="N446" s="774"/>
      <c r="O446" s="774"/>
      <c r="P446" s="774"/>
      <c r="Q446" s="774"/>
      <c r="R446" s="774"/>
      <c r="S446" s="774"/>
    </row>
    <row r="447" spans="14:19" ht="29.1" customHeight="1">
      <c r="N447" s="774"/>
      <c r="O447" s="774"/>
      <c r="P447" s="774"/>
      <c r="Q447" s="774"/>
      <c r="R447" s="774"/>
      <c r="S447" s="774"/>
    </row>
    <row r="448" spans="14:19" ht="29.1" customHeight="1">
      <c r="N448" s="774"/>
      <c r="O448" s="774"/>
      <c r="P448" s="774"/>
      <c r="Q448" s="774"/>
      <c r="R448" s="774"/>
      <c r="S448" s="774"/>
    </row>
    <row r="449" spans="14:19" ht="29.1" customHeight="1">
      <c r="N449" s="774"/>
      <c r="O449" s="774"/>
      <c r="P449" s="774"/>
      <c r="Q449" s="774"/>
      <c r="R449" s="774"/>
      <c r="S449" s="774"/>
    </row>
    <row r="450" spans="14:19" ht="29.1" customHeight="1">
      <c r="N450" s="774"/>
      <c r="O450" s="774"/>
      <c r="P450" s="774"/>
      <c r="Q450" s="774"/>
      <c r="R450" s="774"/>
      <c r="S450" s="774"/>
    </row>
    <row r="451" spans="14:19" ht="29.1" customHeight="1">
      <c r="N451" s="774"/>
      <c r="O451" s="774"/>
      <c r="P451" s="774"/>
      <c r="Q451" s="774"/>
      <c r="R451" s="774"/>
      <c r="S451" s="774"/>
    </row>
    <row r="452" spans="14:19" ht="29.1" customHeight="1">
      <c r="N452" s="774"/>
      <c r="O452" s="774"/>
      <c r="P452" s="774"/>
      <c r="Q452" s="774"/>
      <c r="R452" s="774"/>
      <c r="S452" s="774"/>
    </row>
    <row r="453" spans="14:19" ht="29.1" customHeight="1">
      <c r="N453" s="774"/>
      <c r="O453" s="774"/>
      <c r="P453" s="774"/>
      <c r="Q453" s="774"/>
      <c r="R453" s="774"/>
      <c r="S453" s="774"/>
    </row>
    <row r="454" spans="14:19" ht="29.1" customHeight="1">
      <c r="N454" s="774"/>
      <c r="O454" s="774"/>
      <c r="P454" s="774"/>
      <c r="Q454" s="774"/>
      <c r="R454" s="774"/>
      <c r="S454" s="774"/>
    </row>
    <row r="455" spans="14:19" ht="29.1" customHeight="1">
      <c r="N455" s="774"/>
      <c r="O455" s="774"/>
      <c r="P455" s="774"/>
      <c r="Q455" s="774"/>
      <c r="R455" s="774"/>
      <c r="S455" s="774"/>
    </row>
    <row r="456" spans="14:19" ht="29.1" customHeight="1">
      <c r="N456" s="774"/>
      <c r="O456" s="774"/>
      <c r="P456" s="774"/>
      <c r="Q456" s="774"/>
      <c r="R456" s="774"/>
      <c r="S456" s="774"/>
    </row>
    <row r="457" spans="14:19" ht="29.1" customHeight="1">
      <c r="N457" s="774"/>
      <c r="O457" s="774"/>
      <c r="P457" s="774"/>
      <c r="Q457" s="774"/>
      <c r="R457" s="774"/>
      <c r="S457" s="774"/>
    </row>
    <row r="458" spans="14:19" ht="29.1" customHeight="1">
      <c r="N458" s="774"/>
      <c r="O458" s="774"/>
      <c r="P458" s="774"/>
      <c r="Q458" s="774"/>
      <c r="R458" s="774"/>
      <c r="S458" s="774"/>
    </row>
    <row r="459" spans="14:19" ht="29.1" customHeight="1">
      <c r="N459" s="774"/>
      <c r="O459" s="774"/>
      <c r="P459" s="774"/>
      <c r="Q459" s="774"/>
      <c r="R459" s="774"/>
      <c r="S459" s="774"/>
    </row>
    <row r="460" spans="14:19" ht="29.1" customHeight="1">
      <c r="N460" s="774"/>
      <c r="O460" s="774"/>
      <c r="P460" s="774"/>
      <c r="Q460" s="774"/>
      <c r="R460" s="774"/>
      <c r="S460" s="774"/>
    </row>
    <row r="461" spans="14:19" ht="29.1" customHeight="1">
      <c r="N461" s="774"/>
      <c r="O461" s="774"/>
      <c r="P461" s="774"/>
      <c r="Q461" s="774"/>
      <c r="R461" s="774"/>
      <c r="S461" s="774"/>
    </row>
    <row r="462" spans="14:19" ht="29.1" customHeight="1">
      <c r="N462" s="774"/>
      <c r="O462" s="774"/>
      <c r="P462" s="774"/>
      <c r="Q462" s="774"/>
      <c r="R462" s="774"/>
      <c r="S462" s="774"/>
    </row>
    <row r="463" spans="14:19" ht="29.1" customHeight="1">
      <c r="N463" s="774"/>
      <c r="O463" s="774"/>
      <c r="P463" s="774"/>
      <c r="Q463" s="774"/>
      <c r="R463" s="774"/>
      <c r="S463" s="774"/>
    </row>
    <row r="464" spans="14:19" ht="29.1" customHeight="1">
      <c r="N464" s="774"/>
      <c r="O464" s="774"/>
      <c r="P464" s="774"/>
      <c r="Q464" s="774"/>
      <c r="R464" s="774"/>
      <c r="S464" s="774"/>
    </row>
    <row r="465" spans="14:19" ht="29.1" customHeight="1">
      <c r="N465" s="774"/>
      <c r="O465" s="774"/>
      <c r="P465" s="774"/>
      <c r="Q465" s="774"/>
      <c r="R465" s="774"/>
      <c r="S465" s="774"/>
    </row>
    <row r="466" spans="14:19" ht="29.1" customHeight="1">
      <c r="N466" s="774"/>
      <c r="O466" s="774"/>
      <c r="P466" s="774"/>
      <c r="Q466" s="774"/>
      <c r="R466" s="774"/>
      <c r="S466" s="774"/>
    </row>
    <row r="467" spans="14:19" ht="29.1" customHeight="1">
      <c r="N467" s="774"/>
      <c r="O467" s="774"/>
      <c r="P467" s="774"/>
      <c r="Q467" s="774"/>
      <c r="R467" s="774"/>
      <c r="S467" s="774"/>
    </row>
    <row r="468" spans="14:19" ht="29.1" customHeight="1">
      <c r="N468" s="774"/>
      <c r="O468" s="774"/>
      <c r="P468" s="774"/>
      <c r="Q468" s="774"/>
      <c r="R468" s="774"/>
      <c r="S468" s="774"/>
    </row>
    <row r="469" spans="14:19" ht="29.1" customHeight="1">
      <c r="N469" s="774"/>
      <c r="O469" s="774"/>
      <c r="P469" s="774"/>
      <c r="Q469" s="774"/>
      <c r="R469" s="774"/>
      <c r="S469" s="774"/>
    </row>
    <row r="470" spans="14:19" ht="29.1" customHeight="1">
      <c r="N470" s="774"/>
      <c r="O470" s="774"/>
      <c r="P470" s="774"/>
      <c r="Q470" s="774"/>
      <c r="R470" s="774"/>
      <c r="S470" s="774"/>
    </row>
    <row r="471" spans="14:19" ht="29.1" customHeight="1">
      <c r="N471" s="774"/>
      <c r="O471" s="774"/>
      <c r="P471" s="774"/>
      <c r="Q471" s="774"/>
      <c r="R471" s="774"/>
      <c r="S471" s="774"/>
    </row>
    <row r="472" spans="14:19" ht="29.1" customHeight="1">
      <c r="N472" s="774"/>
      <c r="O472" s="774"/>
      <c r="P472" s="774"/>
      <c r="Q472" s="774"/>
      <c r="R472" s="774"/>
      <c r="S472" s="774"/>
    </row>
    <row r="473" spans="14:19" ht="29.1" customHeight="1">
      <c r="N473" s="774"/>
      <c r="O473" s="774"/>
      <c r="P473" s="774"/>
      <c r="Q473" s="774"/>
      <c r="R473" s="774"/>
      <c r="S473" s="774"/>
    </row>
    <row r="474" spans="14:19" ht="29.1" customHeight="1">
      <c r="N474" s="774"/>
      <c r="O474" s="774"/>
      <c r="P474" s="774"/>
      <c r="Q474" s="774"/>
      <c r="R474" s="774"/>
      <c r="S474" s="774"/>
    </row>
    <row r="475" spans="14:19" ht="29.1" customHeight="1">
      <c r="N475" s="774"/>
      <c r="O475" s="774"/>
      <c r="P475" s="774"/>
      <c r="Q475" s="774"/>
      <c r="R475" s="774"/>
      <c r="S475" s="774"/>
    </row>
    <row r="476" spans="14:19" ht="29.1" customHeight="1">
      <c r="N476" s="774"/>
      <c r="O476" s="774"/>
      <c r="P476" s="774"/>
      <c r="Q476" s="774"/>
      <c r="R476" s="774"/>
      <c r="S476" s="774"/>
    </row>
    <row r="477" spans="14:19" ht="29.1" customHeight="1">
      <c r="N477" s="774"/>
      <c r="O477" s="774"/>
      <c r="P477" s="774"/>
      <c r="Q477" s="774"/>
      <c r="R477" s="774"/>
      <c r="S477" s="774"/>
    </row>
    <row r="478" spans="14:19" ht="29.1" customHeight="1">
      <c r="N478" s="774"/>
      <c r="O478" s="774"/>
      <c r="P478" s="774"/>
      <c r="Q478" s="774"/>
      <c r="R478" s="774"/>
      <c r="S478" s="774"/>
    </row>
    <row r="479" spans="14:19" ht="29.1" customHeight="1">
      <c r="N479" s="774"/>
      <c r="O479" s="774"/>
      <c r="P479" s="774"/>
      <c r="Q479" s="774"/>
      <c r="R479" s="774"/>
      <c r="S479" s="774"/>
    </row>
    <row r="480" spans="14:19" ht="29.1" customHeight="1">
      <c r="N480" s="774"/>
      <c r="O480" s="774"/>
      <c r="P480" s="774"/>
      <c r="Q480" s="774"/>
      <c r="R480" s="774"/>
      <c r="S480" s="774"/>
    </row>
    <row r="481" spans="14:19" ht="29.1" customHeight="1">
      <c r="N481" s="774"/>
      <c r="O481" s="774"/>
      <c r="P481" s="774"/>
      <c r="Q481" s="774"/>
      <c r="R481" s="774"/>
      <c r="S481" s="774"/>
    </row>
    <row r="482" spans="14:19" ht="29.1" customHeight="1">
      <c r="N482" s="774"/>
      <c r="O482" s="774"/>
      <c r="P482" s="774"/>
      <c r="Q482" s="774"/>
      <c r="R482" s="774"/>
      <c r="S482" s="774"/>
    </row>
    <row r="483" spans="14:19" ht="29.1" customHeight="1">
      <c r="N483" s="774"/>
      <c r="O483" s="774"/>
      <c r="P483" s="774"/>
      <c r="Q483" s="774"/>
      <c r="R483" s="774"/>
      <c r="S483" s="774"/>
    </row>
    <row r="484" spans="14:19" ht="29.1" customHeight="1">
      <c r="N484" s="774"/>
      <c r="O484" s="774"/>
      <c r="P484" s="774"/>
      <c r="Q484" s="774"/>
      <c r="R484" s="774"/>
      <c r="S484" s="774"/>
    </row>
    <row r="485" spans="14:19" ht="29.1" customHeight="1">
      <c r="N485" s="774"/>
      <c r="O485" s="774"/>
      <c r="P485" s="774"/>
      <c r="Q485" s="774"/>
      <c r="R485" s="774"/>
      <c r="S485" s="774"/>
    </row>
    <row r="486" spans="14:19" ht="29.1" customHeight="1">
      <c r="N486" s="774"/>
      <c r="O486" s="774"/>
      <c r="P486" s="774"/>
      <c r="Q486" s="774"/>
      <c r="R486" s="774"/>
      <c r="S486" s="774"/>
    </row>
    <row r="487" spans="14:19" ht="29.1" customHeight="1">
      <c r="N487" s="774"/>
      <c r="O487" s="774"/>
      <c r="P487" s="774"/>
      <c r="Q487" s="774"/>
      <c r="R487" s="774"/>
      <c r="S487" s="774"/>
    </row>
    <row r="488" spans="14:19" ht="29.1" customHeight="1">
      <c r="N488" s="774"/>
      <c r="O488" s="774"/>
      <c r="P488" s="774"/>
      <c r="Q488" s="774"/>
      <c r="R488" s="774"/>
      <c r="S488" s="774"/>
    </row>
    <row r="489" spans="14:19" ht="29.1" customHeight="1">
      <c r="N489" s="774"/>
      <c r="O489" s="774"/>
      <c r="P489" s="774"/>
      <c r="Q489" s="774"/>
      <c r="R489" s="774"/>
      <c r="S489" s="774"/>
    </row>
    <row r="490" spans="14:19" ht="29.1" customHeight="1">
      <c r="N490" s="774"/>
      <c r="O490" s="774"/>
      <c r="P490" s="774"/>
      <c r="Q490" s="774"/>
      <c r="R490" s="774"/>
      <c r="S490" s="774"/>
    </row>
    <row r="491" spans="14:19" ht="29.1" customHeight="1">
      <c r="N491" s="774"/>
      <c r="O491" s="774"/>
      <c r="P491" s="774"/>
      <c r="Q491" s="774"/>
      <c r="R491" s="774"/>
      <c r="S491" s="774"/>
    </row>
    <row r="492" spans="14:19" ht="29.1" customHeight="1">
      <c r="N492" s="774"/>
      <c r="O492" s="774"/>
      <c r="P492" s="774"/>
      <c r="Q492" s="774"/>
      <c r="R492" s="774"/>
      <c r="S492" s="774"/>
    </row>
    <row r="493" spans="14:19" ht="29.1" customHeight="1">
      <c r="N493" s="774"/>
      <c r="O493" s="774"/>
      <c r="P493" s="774"/>
      <c r="Q493" s="774"/>
      <c r="R493" s="774"/>
      <c r="S493" s="774"/>
    </row>
    <row r="494" spans="14:19" ht="29.1" customHeight="1">
      <c r="N494" s="774"/>
      <c r="O494" s="774"/>
      <c r="P494" s="774"/>
      <c r="Q494" s="774"/>
      <c r="R494" s="774"/>
      <c r="S494" s="774"/>
    </row>
    <row r="495" spans="14:19" ht="29.1" customHeight="1">
      <c r="N495" s="774"/>
      <c r="O495" s="774"/>
      <c r="P495" s="774"/>
      <c r="Q495" s="774"/>
      <c r="R495" s="774"/>
      <c r="S495" s="774"/>
    </row>
    <row r="496" spans="14:19" ht="29.1" customHeight="1">
      <c r="N496" s="774"/>
      <c r="O496" s="774"/>
      <c r="P496" s="774"/>
      <c r="Q496" s="774"/>
      <c r="R496" s="774"/>
      <c r="S496" s="774"/>
    </row>
    <row r="497" spans="14:19" ht="29.1" customHeight="1">
      <c r="N497" s="774"/>
      <c r="O497" s="774"/>
      <c r="P497" s="774"/>
      <c r="Q497" s="774"/>
      <c r="R497" s="774"/>
      <c r="S497" s="774"/>
    </row>
    <row r="498" spans="14:19" ht="29.1" customHeight="1">
      <c r="N498" s="774"/>
      <c r="O498" s="774"/>
      <c r="P498" s="774"/>
      <c r="Q498" s="774"/>
      <c r="R498" s="774"/>
      <c r="S498" s="774"/>
    </row>
    <row r="499" spans="14:19" ht="29.1" customHeight="1">
      <c r="N499" s="774"/>
      <c r="O499" s="774"/>
      <c r="P499" s="774"/>
      <c r="Q499" s="774"/>
      <c r="R499" s="774"/>
      <c r="S499" s="774"/>
    </row>
    <row r="500" spans="14:19" ht="29.1" customHeight="1">
      <c r="N500" s="774"/>
      <c r="O500" s="774"/>
      <c r="P500" s="774"/>
      <c r="Q500" s="774"/>
      <c r="R500" s="774"/>
      <c r="S500" s="774"/>
    </row>
    <row r="501" spans="14:19" ht="29.1" customHeight="1">
      <c r="N501" s="774"/>
      <c r="O501" s="774"/>
      <c r="P501" s="774"/>
      <c r="Q501" s="774"/>
      <c r="R501" s="774"/>
      <c r="S501" s="774"/>
    </row>
    <row r="502" spans="14:19" ht="29.1" customHeight="1">
      <c r="N502" s="774"/>
      <c r="O502" s="774"/>
      <c r="P502" s="774"/>
      <c r="Q502" s="774"/>
      <c r="R502" s="774"/>
      <c r="S502" s="774"/>
    </row>
    <row r="503" spans="14:19" ht="29.1" customHeight="1">
      <c r="N503" s="774"/>
      <c r="O503" s="774"/>
      <c r="P503" s="774"/>
      <c r="Q503" s="774"/>
      <c r="R503" s="774"/>
      <c r="S503" s="774"/>
    </row>
    <row r="504" spans="14:19" ht="29.1" customHeight="1">
      <c r="N504" s="774"/>
      <c r="O504" s="774"/>
      <c r="P504" s="774"/>
      <c r="Q504" s="774"/>
      <c r="R504" s="774"/>
      <c r="S504" s="774"/>
    </row>
    <row r="505" spans="14:19" ht="29.1" customHeight="1">
      <c r="N505" s="774"/>
      <c r="O505" s="774"/>
      <c r="P505" s="774"/>
      <c r="Q505" s="774"/>
      <c r="R505" s="774"/>
      <c r="S505" s="774"/>
    </row>
    <row r="506" spans="14:19" ht="29.1" customHeight="1">
      <c r="N506" s="774"/>
      <c r="O506" s="774"/>
      <c r="P506" s="774"/>
      <c r="Q506" s="774"/>
      <c r="R506" s="774"/>
      <c r="S506" s="774"/>
    </row>
    <row r="507" spans="14:19" ht="29.1" customHeight="1">
      <c r="N507" s="774"/>
      <c r="O507" s="774"/>
      <c r="P507" s="774"/>
      <c r="Q507" s="774"/>
      <c r="R507" s="774"/>
      <c r="S507" s="774"/>
    </row>
    <row r="508" spans="14:19" ht="29.1" customHeight="1">
      <c r="N508" s="774"/>
      <c r="O508" s="774"/>
      <c r="P508" s="774"/>
      <c r="Q508" s="774"/>
      <c r="R508" s="774"/>
      <c r="S508" s="774"/>
    </row>
    <row r="509" spans="14:19" ht="29.1" customHeight="1">
      <c r="N509" s="774"/>
      <c r="O509" s="774"/>
      <c r="P509" s="774"/>
      <c r="Q509" s="774"/>
      <c r="R509" s="774"/>
      <c r="S509" s="774"/>
    </row>
    <row r="510" spans="14:19" ht="29.1" customHeight="1">
      <c r="N510" s="774"/>
      <c r="O510" s="774"/>
      <c r="P510" s="774"/>
      <c r="Q510" s="774"/>
      <c r="R510" s="774"/>
      <c r="S510" s="774"/>
    </row>
    <row r="511" spans="14:19" ht="29.1" customHeight="1">
      <c r="N511" s="774"/>
      <c r="O511" s="774"/>
      <c r="P511" s="774"/>
      <c r="Q511" s="774"/>
      <c r="R511" s="774"/>
      <c r="S511" s="774"/>
    </row>
    <row r="512" spans="14:19" ht="29.1" customHeight="1">
      <c r="N512" s="774"/>
      <c r="O512" s="774"/>
      <c r="P512" s="774"/>
      <c r="Q512" s="774"/>
      <c r="R512" s="774"/>
      <c r="S512" s="774"/>
    </row>
    <row r="513" spans="14:19" ht="29.1" customHeight="1">
      <c r="N513" s="774"/>
      <c r="O513" s="774"/>
      <c r="P513" s="774"/>
      <c r="Q513" s="774"/>
      <c r="R513" s="774"/>
      <c r="S513" s="774"/>
    </row>
    <row r="514" spans="14:19" ht="29.1" customHeight="1">
      <c r="N514" s="774"/>
      <c r="O514" s="774"/>
      <c r="P514" s="774"/>
      <c r="Q514" s="774"/>
      <c r="R514" s="774"/>
      <c r="S514" s="774"/>
    </row>
    <row r="515" spans="14:19" ht="29.1" customHeight="1">
      <c r="N515" s="774"/>
      <c r="O515" s="774"/>
      <c r="P515" s="774"/>
      <c r="Q515" s="774"/>
      <c r="R515" s="774"/>
      <c r="S515" s="774"/>
    </row>
    <row r="516" spans="14:19" ht="29.1" customHeight="1">
      <c r="N516" s="774"/>
      <c r="O516" s="774"/>
      <c r="P516" s="774"/>
      <c r="Q516" s="774"/>
      <c r="R516" s="774"/>
      <c r="S516" s="774"/>
    </row>
    <row r="517" spans="14:19" ht="29.1" customHeight="1">
      <c r="N517" s="774"/>
      <c r="O517" s="774"/>
      <c r="P517" s="774"/>
      <c r="Q517" s="774"/>
      <c r="R517" s="774"/>
      <c r="S517" s="774"/>
    </row>
    <row r="518" spans="14:19" ht="29.1" customHeight="1">
      <c r="N518" s="774"/>
      <c r="O518" s="774"/>
      <c r="P518" s="774"/>
      <c r="Q518" s="774"/>
      <c r="R518" s="774"/>
      <c r="S518" s="774"/>
    </row>
    <row r="519" spans="14:19" ht="29.1" customHeight="1">
      <c r="N519" s="774"/>
      <c r="O519" s="774"/>
      <c r="P519" s="774"/>
      <c r="Q519" s="774"/>
      <c r="R519" s="774"/>
      <c r="S519" s="774"/>
    </row>
    <row r="520" spans="14:19" ht="29.1" customHeight="1">
      <c r="N520" s="774"/>
      <c r="O520" s="774"/>
      <c r="P520" s="774"/>
      <c r="Q520" s="774"/>
      <c r="R520" s="774"/>
      <c r="S520" s="774"/>
    </row>
    <row r="521" spans="14:19" ht="29.1" customHeight="1">
      <c r="N521" s="774"/>
      <c r="O521" s="774"/>
      <c r="P521" s="774"/>
      <c r="Q521" s="774"/>
      <c r="R521" s="774"/>
      <c r="S521" s="774"/>
    </row>
    <row r="522" spans="14:19" ht="29.1" customHeight="1">
      <c r="N522" s="774"/>
      <c r="O522" s="774"/>
      <c r="P522" s="774"/>
      <c r="Q522" s="774"/>
      <c r="R522" s="774"/>
      <c r="S522" s="774"/>
    </row>
    <row r="523" spans="14:19" ht="29.1" customHeight="1">
      <c r="N523" s="774"/>
      <c r="O523" s="774"/>
      <c r="P523" s="774"/>
      <c r="Q523" s="774"/>
      <c r="R523" s="774"/>
      <c r="S523" s="774"/>
    </row>
    <row r="524" spans="14:19" ht="29.1" customHeight="1">
      <c r="N524" s="774"/>
      <c r="O524" s="774"/>
      <c r="P524" s="774"/>
      <c r="Q524" s="774"/>
      <c r="R524" s="774"/>
      <c r="S524" s="774"/>
    </row>
    <row r="525" spans="14:19" ht="29.1" customHeight="1">
      <c r="N525" s="774"/>
      <c r="O525" s="774"/>
      <c r="P525" s="774"/>
      <c r="Q525" s="774"/>
      <c r="R525" s="774"/>
      <c r="S525" s="774"/>
    </row>
    <row r="526" spans="14:19" ht="29.1" customHeight="1">
      <c r="N526" s="774"/>
      <c r="O526" s="774"/>
      <c r="P526" s="774"/>
      <c r="Q526" s="774"/>
      <c r="R526" s="774"/>
      <c r="S526" s="774"/>
    </row>
    <row r="527" spans="14:19" ht="29.1" customHeight="1">
      <c r="N527" s="774"/>
      <c r="O527" s="774"/>
      <c r="P527" s="774"/>
      <c r="Q527" s="774"/>
      <c r="R527" s="774"/>
      <c r="S527" s="774"/>
    </row>
    <row r="528" spans="14:19" ht="29.1" customHeight="1">
      <c r="N528" s="774"/>
      <c r="O528" s="774"/>
      <c r="P528" s="774"/>
      <c r="Q528" s="774"/>
      <c r="R528" s="774"/>
      <c r="S528" s="774"/>
    </row>
    <row r="529" spans="14:19" ht="29.1" customHeight="1">
      <c r="N529" s="774"/>
      <c r="O529" s="774"/>
      <c r="P529" s="774"/>
      <c r="Q529" s="774"/>
      <c r="R529" s="774"/>
      <c r="S529" s="774"/>
    </row>
    <row r="530" spans="14:19" ht="29.1" customHeight="1">
      <c r="N530" s="774"/>
      <c r="O530" s="774"/>
      <c r="P530" s="774"/>
      <c r="Q530" s="774"/>
      <c r="R530" s="774"/>
      <c r="S530" s="774"/>
    </row>
    <row r="531" spans="14:19" ht="29.1" customHeight="1">
      <c r="N531" s="774"/>
      <c r="O531" s="774"/>
      <c r="P531" s="774"/>
      <c r="Q531" s="774"/>
      <c r="R531" s="774"/>
      <c r="S531" s="774"/>
    </row>
    <row r="532" spans="14:19" ht="29.1" customHeight="1">
      <c r="N532" s="774"/>
      <c r="O532" s="774"/>
      <c r="P532" s="774"/>
      <c r="Q532" s="774"/>
      <c r="R532" s="774"/>
      <c r="S532" s="774"/>
    </row>
    <row r="533" spans="14:19" ht="29.1" customHeight="1">
      <c r="N533" s="774"/>
      <c r="O533" s="774"/>
      <c r="P533" s="774"/>
      <c r="Q533" s="774"/>
      <c r="R533" s="774"/>
      <c r="S533" s="774"/>
    </row>
    <row r="534" spans="14:19" ht="29.1" customHeight="1">
      <c r="N534" s="774"/>
      <c r="O534" s="774"/>
      <c r="P534" s="774"/>
      <c r="Q534" s="774"/>
      <c r="R534" s="774"/>
      <c r="S534" s="774"/>
    </row>
    <row r="535" spans="14:19" ht="29.1" customHeight="1">
      <c r="N535" s="774"/>
      <c r="O535" s="774"/>
      <c r="P535" s="774"/>
      <c r="Q535" s="774"/>
      <c r="R535" s="774"/>
      <c r="S535" s="774"/>
    </row>
    <row r="536" spans="14:19" ht="29.1" customHeight="1">
      <c r="N536" s="774"/>
      <c r="O536" s="774"/>
      <c r="P536" s="774"/>
      <c r="Q536" s="774"/>
      <c r="R536" s="774"/>
      <c r="S536" s="774"/>
    </row>
    <row r="537" spans="14:19" ht="29.1" customHeight="1">
      <c r="N537" s="774"/>
      <c r="O537" s="774"/>
      <c r="P537" s="774"/>
      <c r="Q537" s="774"/>
      <c r="R537" s="774"/>
      <c r="S537" s="774"/>
    </row>
    <row r="538" spans="14:19" ht="29.1" customHeight="1">
      <c r="N538" s="774"/>
      <c r="O538" s="774"/>
      <c r="P538" s="774"/>
      <c r="Q538" s="774"/>
      <c r="R538" s="774"/>
      <c r="S538" s="774"/>
    </row>
    <row r="539" spans="14:19" ht="29.1" customHeight="1">
      <c r="N539" s="774"/>
      <c r="O539" s="774"/>
      <c r="P539" s="774"/>
      <c r="Q539" s="774"/>
      <c r="R539" s="774"/>
      <c r="S539" s="774"/>
    </row>
    <row r="540" spans="14:19" ht="29.1" customHeight="1">
      <c r="N540" s="774"/>
      <c r="O540" s="774"/>
      <c r="P540" s="774"/>
      <c r="Q540" s="774"/>
      <c r="R540" s="774"/>
      <c r="S540" s="774"/>
    </row>
    <row r="541" spans="14:19" ht="29.1" customHeight="1">
      <c r="N541" s="774"/>
      <c r="O541" s="774"/>
      <c r="P541" s="774"/>
      <c r="Q541" s="774"/>
      <c r="R541" s="774"/>
      <c r="S541" s="774"/>
    </row>
    <row r="542" spans="14:19" ht="29.1" customHeight="1">
      <c r="N542" s="774"/>
      <c r="O542" s="774"/>
      <c r="P542" s="774"/>
      <c r="Q542" s="774"/>
      <c r="R542" s="774"/>
      <c r="S542" s="774"/>
    </row>
    <row r="543" spans="14:19" ht="29.1" customHeight="1">
      <c r="N543" s="774"/>
      <c r="O543" s="774"/>
      <c r="P543" s="774"/>
      <c r="Q543" s="774"/>
      <c r="R543" s="774"/>
      <c r="S543" s="774"/>
    </row>
    <row r="544" spans="14:19" ht="29.1" customHeight="1">
      <c r="N544" s="774"/>
      <c r="O544" s="774"/>
      <c r="P544" s="774"/>
      <c r="Q544" s="774"/>
      <c r="R544" s="774"/>
      <c r="S544" s="774"/>
    </row>
    <row r="545" spans="14:19" ht="29.1" customHeight="1">
      <c r="N545" s="774"/>
      <c r="O545" s="774"/>
      <c r="P545" s="774"/>
      <c r="Q545" s="774"/>
      <c r="R545" s="774"/>
      <c r="S545" s="774"/>
    </row>
    <row r="546" spans="14:19" ht="29.1" customHeight="1">
      <c r="N546" s="774"/>
      <c r="O546" s="774"/>
      <c r="P546" s="774"/>
      <c r="Q546" s="774"/>
      <c r="R546" s="774"/>
      <c r="S546" s="774"/>
    </row>
    <row r="547" spans="14:19" ht="29.1" customHeight="1">
      <c r="N547" s="774"/>
      <c r="O547" s="774"/>
      <c r="P547" s="774"/>
      <c r="Q547" s="774"/>
      <c r="R547" s="774"/>
      <c r="S547" s="774"/>
    </row>
    <row r="548" spans="14:19" ht="29.1" customHeight="1">
      <c r="N548" s="774"/>
      <c r="O548" s="774"/>
      <c r="P548" s="774"/>
      <c r="Q548" s="774"/>
      <c r="R548" s="774"/>
      <c r="S548" s="774"/>
    </row>
    <row r="549" spans="14:19" ht="29.1" customHeight="1">
      <c r="N549" s="774"/>
      <c r="O549" s="774"/>
      <c r="P549" s="774"/>
      <c r="Q549" s="774"/>
      <c r="R549" s="774"/>
      <c r="S549" s="774"/>
    </row>
    <row r="550" spans="14:19" ht="29.1" customHeight="1">
      <c r="N550" s="774"/>
      <c r="O550" s="774"/>
      <c r="P550" s="774"/>
      <c r="Q550" s="774"/>
      <c r="R550" s="774"/>
      <c r="S550" s="774"/>
    </row>
    <row r="551" spans="14:19" ht="29.1" customHeight="1">
      <c r="N551" s="774"/>
      <c r="O551" s="774"/>
      <c r="P551" s="774"/>
      <c r="Q551" s="774"/>
      <c r="R551" s="774"/>
      <c r="S551" s="774"/>
    </row>
    <row r="552" spans="14:19" ht="29.1" customHeight="1">
      <c r="N552" s="774"/>
      <c r="O552" s="774"/>
      <c r="P552" s="774"/>
      <c r="Q552" s="774"/>
      <c r="R552" s="774"/>
      <c r="S552" s="774"/>
    </row>
    <row r="553" spans="14:19" ht="29.1" customHeight="1">
      <c r="N553" s="774"/>
      <c r="O553" s="774"/>
      <c r="P553" s="774"/>
      <c r="Q553" s="774"/>
      <c r="R553" s="774"/>
      <c r="S553" s="774"/>
    </row>
    <row r="554" spans="14:19" ht="29.1" customHeight="1">
      <c r="N554" s="774"/>
      <c r="O554" s="774"/>
      <c r="P554" s="774"/>
      <c r="Q554" s="774"/>
      <c r="R554" s="774"/>
      <c r="S554" s="774"/>
    </row>
    <row r="555" spans="14:19" ht="29.1" customHeight="1">
      <c r="N555" s="774"/>
      <c r="O555" s="774"/>
      <c r="P555" s="774"/>
      <c r="Q555" s="774"/>
      <c r="R555" s="774"/>
      <c r="S555" s="774"/>
    </row>
    <row r="556" spans="14:19" ht="29.1" customHeight="1">
      <c r="N556" s="774"/>
      <c r="O556" s="774"/>
      <c r="P556" s="774"/>
      <c r="Q556" s="774"/>
      <c r="R556" s="774"/>
      <c r="S556" s="774"/>
    </row>
    <row r="557" spans="14:19" ht="29.1" customHeight="1">
      <c r="N557" s="774"/>
      <c r="O557" s="774"/>
      <c r="P557" s="774"/>
      <c r="Q557" s="774"/>
      <c r="R557" s="774"/>
      <c r="S557" s="774"/>
    </row>
    <row r="558" spans="14:19" ht="29.1" customHeight="1">
      <c r="N558" s="774"/>
      <c r="O558" s="774"/>
      <c r="P558" s="774"/>
      <c r="Q558" s="774"/>
      <c r="R558" s="774"/>
      <c r="S558" s="774"/>
    </row>
    <row r="559" spans="14:19" ht="29.1" customHeight="1">
      <c r="N559" s="774"/>
      <c r="O559" s="774"/>
      <c r="P559" s="774"/>
      <c r="Q559" s="774"/>
      <c r="R559" s="774"/>
      <c r="S559" s="774"/>
    </row>
    <row r="560" spans="14:19" ht="29.1" customHeight="1">
      <c r="N560" s="774"/>
      <c r="O560" s="774"/>
      <c r="P560" s="774"/>
      <c r="Q560" s="774"/>
      <c r="R560" s="774"/>
      <c r="S560" s="774"/>
    </row>
    <row r="561" spans="14:19" ht="29.1" customHeight="1">
      <c r="N561" s="774"/>
      <c r="O561" s="774"/>
      <c r="P561" s="774"/>
      <c r="Q561" s="774"/>
      <c r="R561" s="774"/>
      <c r="S561" s="774"/>
    </row>
    <row r="562" spans="14:19" ht="29.1" customHeight="1">
      <c r="N562" s="774"/>
      <c r="O562" s="774"/>
      <c r="P562" s="774"/>
      <c r="Q562" s="774"/>
      <c r="R562" s="774"/>
      <c r="S562" s="774"/>
    </row>
    <row r="563" spans="14:19" ht="29.1" customHeight="1">
      <c r="N563" s="774"/>
      <c r="O563" s="774"/>
      <c r="P563" s="774"/>
      <c r="Q563" s="774"/>
      <c r="R563" s="774"/>
      <c r="S563" s="774"/>
    </row>
    <row r="564" spans="14:19" ht="29.1" customHeight="1">
      <c r="N564" s="774"/>
      <c r="O564" s="774"/>
      <c r="P564" s="774"/>
      <c r="Q564" s="774"/>
      <c r="R564" s="774"/>
      <c r="S564" s="774"/>
    </row>
    <row r="565" spans="14:19" ht="29.1" customHeight="1">
      <c r="N565" s="774"/>
      <c r="O565" s="774"/>
      <c r="P565" s="774"/>
      <c r="Q565" s="774"/>
      <c r="R565" s="774"/>
      <c r="S565" s="774"/>
    </row>
    <row r="566" spans="14:19" ht="29.1" customHeight="1">
      <c r="N566" s="774"/>
      <c r="O566" s="774"/>
      <c r="P566" s="774"/>
      <c r="Q566" s="774"/>
      <c r="R566" s="774"/>
      <c r="S566" s="774"/>
    </row>
    <row r="567" spans="14:19" ht="29.1" customHeight="1">
      <c r="N567" s="774"/>
      <c r="O567" s="774"/>
      <c r="P567" s="774"/>
      <c r="Q567" s="774"/>
      <c r="R567" s="774"/>
      <c r="S567" s="774"/>
    </row>
    <row r="568" spans="14:19" ht="29.1" customHeight="1">
      <c r="N568" s="774"/>
      <c r="O568" s="774"/>
      <c r="P568" s="774"/>
      <c r="Q568" s="774"/>
      <c r="R568" s="774"/>
      <c r="S568" s="774"/>
    </row>
    <row r="569" spans="14:19" ht="29.1" customHeight="1">
      <c r="N569" s="774"/>
      <c r="O569" s="774"/>
      <c r="P569" s="774"/>
      <c r="Q569" s="774"/>
      <c r="R569" s="774"/>
      <c r="S569" s="774"/>
    </row>
    <row r="570" spans="14:19" ht="29.1" customHeight="1">
      <c r="N570" s="774"/>
      <c r="O570" s="774"/>
      <c r="P570" s="774"/>
      <c r="Q570" s="774"/>
      <c r="R570" s="774"/>
      <c r="S570" s="774"/>
    </row>
    <row r="571" spans="14:19" ht="29.1" customHeight="1">
      <c r="N571" s="774"/>
      <c r="O571" s="774"/>
      <c r="P571" s="774"/>
      <c r="Q571" s="774"/>
      <c r="R571" s="774"/>
      <c r="S571" s="774"/>
    </row>
    <row r="572" spans="14:19" ht="29.1" customHeight="1">
      <c r="N572" s="774"/>
      <c r="O572" s="774"/>
      <c r="P572" s="774"/>
      <c r="Q572" s="774"/>
      <c r="R572" s="774"/>
      <c r="S572" s="774"/>
    </row>
    <row r="573" spans="14:19" ht="29.1" customHeight="1">
      <c r="N573" s="774"/>
      <c r="O573" s="774"/>
      <c r="P573" s="774"/>
      <c r="Q573" s="774"/>
      <c r="R573" s="774"/>
      <c r="S573" s="774"/>
    </row>
    <row r="574" spans="14:19" ht="29.1" customHeight="1">
      <c r="N574" s="774"/>
      <c r="O574" s="774"/>
      <c r="P574" s="774"/>
      <c r="Q574" s="774"/>
      <c r="R574" s="774"/>
      <c r="S574" s="774"/>
    </row>
    <row r="575" spans="14:19" ht="29.1" customHeight="1">
      <c r="N575" s="774"/>
      <c r="O575" s="774"/>
      <c r="P575" s="774"/>
      <c r="Q575" s="774"/>
      <c r="R575" s="774"/>
      <c r="S575" s="774"/>
    </row>
    <row r="576" spans="14:19" ht="29.1" customHeight="1">
      <c r="N576" s="774"/>
      <c r="O576" s="774"/>
      <c r="P576" s="774"/>
      <c r="Q576" s="774"/>
      <c r="R576" s="774"/>
      <c r="S576" s="774"/>
    </row>
    <row r="577" spans="14:19" ht="29.1" customHeight="1">
      <c r="N577" s="774"/>
      <c r="O577" s="774"/>
      <c r="P577" s="774"/>
      <c r="Q577" s="774"/>
      <c r="R577" s="774"/>
      <c r="S577" s="774"/>
    </row>
    <row r="578" spans="14:19" ht="29.1" customHeight="1">
      <c r="N578" s="774"/>
      <c r="O578" s="774"/>
      <c r="P578" s="774"/>
      <c r="Q578" s="774"/>
      <c r="R578" s="774"/>
      <c r="S578" s="774"/>
    </row>
    <row r="579" spans="14:19" ht="29.1" customHeight="1">
      <c r="N579" s="774"/>
      <c r="O579" s="774"/>
      <c r="P579" s="774"/>
      <c r="Q579" s="774"/>
      <c r="R579" s="774"/>
      <c r="S579" s="774"/>
    </row>
    <row r="580" spans="14:19" ht="29.1" customHeight="1">
      <c r="N580" s="774"/>
      <c r="O580" s="774"/>
      <c r="P580" s="774"/>
      <c r="Q580" s="774"/>
      <c r="R580" s="774"/>
      <c r="S580" s="774"/>
    </row>
    <row r="581" spans="14:19" ht="29.1" customHeight="1">
      <c r="N581" s="774"/>
      <c r="O581" s="774"/>
      <c r="P581" s="774"/>
      <c r="Q581" s="774"/>
      <c r="R581" s="774"/>
      <c r="S581" s="774"/>
    </row>
    <row r="582" spans="14:19" ht="29.1" customHeight="1">
      <c r="N582" s="774"/>
      <c r="O582" s="774"/>
      <c r="P582" s="774"/>
      <c r="Q582" s="774"/>
      <c r="R582" s="774"/>
      <c r="S582" s="774"/>
    </row>
    <row r="583" spans="14:19" ht="29.1" customHeight="1">
      <c r="N583" s="774"/>
      <c r="O583" s="774"/>
      <c r="P583" s="774"/>
      <c r="Q583" s="774"/>
      <c r="R583" s="774"/>
      <c r="S583" s="774"/>
    </row>
    <row r="584" spans="14:19" ht="29.1" customHeight="1">
      <c r="N584" s="774"/>
      <c r="O584" s="774"/>
      <c r="P584" s="774"/>
      <c r="Q584" s="774"/>
      <c r="R584" s="774"/>
      <c r="S584" s="774"/>
    </row>
    <row r="585" spans="14:19" ht="29.1" customHeight="1">
      <c r="N585" s="774"/>
      <c r="O585" s="774"/>
      <c r="P585" s="774"/>
      <c r="Q585" s="774"/>
      <c r="R585" s="774"/>
      <c r="S585" s="774"/>
    </row>
    <row r="586" spans="14:19" ht="29.1" customHeight="1">
      <c r="N586" s="774"/>
      <c r="O586" s="774"/>
      <c r="P586" s="774"/>
      <c r="Q586" s="774"/>
      <c r="R586" s="774"/>
      <c r="S586" s="774"/>
    </row>
    <row r="587" spans="14:19" ht="29.1" customHeight="1">
      <c r="N587" s="774"/>
      <c r="O587" s="774"/>
      <c r="P587" s="774"/>
      <c r="Q587" s="774"/>
      <c r="R587" s="774"/>
      <c r="S587" s="774"/>
    </row>
    <row r="588" spans="14:19" ht="29.1" customHeight="1">
      <c r="N588" s="774"/>
      <c r="O588" s="774"/>
      <c r="P588" s="774"/>
      <c r="Q588" s="774"/>
      <c r="R588" s="774"/>
      <c r="S588" s="774"/>
    </row>
    <row r="589" spans="14:19" ht="29.1" customHeight="1">
      <c r="N589" s="774"/>
      <c r="O589" s="774"/>
      <c r="P589" s="774"/>
      <c r="Q589" s="774"/>
      <c r="R589" s="774"/>
      <c r="S589" s="774"/>
    </row>
    <row r="590" spans="14:19" ht="29.1" customHeight="1">
      <c r="N590" s="774"/>
      <c r="O590" s="774"/>
      <c r="P590" s="774"/>
      <c r="Q590" s="774"/>
      <c r="R590" s="774"/>
      <c r="S590" s="774"/>
    </row>
    <row r="591" spans="14:19" ht="29.1" customHeight="1">
      <c r="N591" s="774"/>
      <c r="O591" s="774"/>
      <c r="P591" s="774"/>
      <c r="Q591" s="774"/>
      <c r="R591" s="774"/>
      <c r="S591" s="774"/>
    </row>
    <row r="592" spans="14:19" ht="29.1" customHeight="1">
      <c r="N592" s="774"/>
      <c r="O592" s="774"/>
      <c r="P592" s="774"/>
      <c r="Q592" s="774"/>
      <c r="R592" s="774"/>
      <c r="S592" s="774"/>
    </row>
    <row r="593" spans="14:19" ht="29.1" customHeight="1">
      <c r="N593" s="774"/>
      <c r="O593" s="774"/>
      <c r="P593" s="774"/>
      <c r="Q593" s="774"/>
      <c r="R593" s="774"/>
      <c r="S593" s="774"/>
    </row>
    <row r="594" spans="14:19" ht="29.1" customHeight="1">
      <c r="N594" s="774"/>
      <c r="O594" s="774"/>
      <c r="P594" s="774"/>
      <c r="Q594" s="774"/>
      <c r="R594" s="774"/>
      <c r="S594" s="774"/>
    </row>
    <row r="595" spans="14:19" ht="29.1" customHeight="1">
      <c r="N595" s="774"/>
      <c r="O595" s="774"/>
      <c r="P595" s="774"/>
      <c r="Q595" s="774"/>
      <c r="R595" s="774"/>
      <c r="S595" s="774"/>
    </row>
    <row r="596" spans="14:19" ht="29.1" customHeight="1">
      <c r="N596" s="774"/>
      <c r="O596" s="774"/>
      <c r="P596" s="774"/>
      <c r="Q596" s="774"/>
      <c r="R596" s="774"/>
      <c r="S596" s="774"/>
    </row>
    <row r="597" spans="14:19" ht="29.1" customHeight="1">
      <c r="N597" s="774"/>
      <c r="O597" s="774"/>
      <c r="P597" s="774"/>
      <c r="Q597" s="774"/>
      <c r="R597" s="774"/>
      <c r="S597" s="774"/>
    </row>
    <row r="598" spans="14:19" ht="29.1" customHeight="1">
      <c r="N598" s="774"/>
      <c r="O598" s="774"/>
      <c r="P598" s="774"/>
      <c r="Q598" s="774"/>
      <c r="R598" s="774"/>
      <c r="S598" s="774"/>
    </row>
    <row r="599" spans="14:19" ht="29.1" customHeight="1">
      <c r="N599" s="774"/>
      <c r="O599" s="774"/>
      <c r="P599" s="774"/>
      <c r="Q599" s="774"/>
      <c r="R599" s="774"/>
      <c r="S599" s="774"/>
    </row>
    <row r="600" spans="14:19" ht="29.1" customHeight="1">
      <c r="N600" s="774"/>
      <c r="O600" s="774"/>
      <c r="P600" s="774"/>
      <c r="Q600" s="774"/>
      <c r="R600" s="774"/>
      <c r="S600" s="774"/>
    </row>
    <row r="601" spans="14:19" ht="29.1" customHeight="1">
      <c r="N601" s="774"/>
      <c r="O601" s="774"/>
      <c r="P601" s="774"/>
      <c r="Q601" s="774"/>
      <c r="R601" s="774"/>
      <c r="S601" s="774"/>
    </row>
    <row r="602" spans="14:19" ht="29.1" customHeight="1">
      <c r="N602" s="774"/>
      <c r="O602" s="774"/>
      <c r="P602" s="774"/>
      <c r="Q602" s="774"/>
      <c r="R602" s="774"/>
      <c r="S602" s="774"/>
    </row>
    <row r="603" spans="14:19" ht="29.1" customHeight="1">
      <c r="N603" s="774"/>
      <c r="O603" s="774"/>
      <c r="P603" s="774"/>
      <c r="Q603" s="774"/>
      <c r="R603" s="774"/>
      <c r="S603" s="774"/>
    </row>
    <row r="604" spans="14:19" ht="29.1" customHeight="1">
      <c r="N604" s="774"/>
      <c r="O604" s="774"/>
      <c r="P604" s="774"/>
      <c r="Q604" s="774"/>
      <c r="R604" s="774"/>
      <c r="S604" s="774"/>
    </row>
    <row r="605" spans="14:19" ht="29.1" customHeight="1">
      <c r="N605" s="774"/>
      <c r="O605" s="774"/>
      <c r="P605" s="774"/>
      <c r="Q605" s="774"/>
      <c r="R605" s="774"/>
      <c r="S605" s="774"/>
    </row>
    <row r="606" spans="14:19" ht="29.1" customHeight="1">
      <c r="N606" s="774"/>
      <c r="O606" s="774"/>
      <c r="P606" s="774"/>
      <c r="Q606" s="774"/>
      <c r="R606" s="774"/>
      <c r="S606" s="774"/>
    </row>
    <row r="607" spans="14:19" ht="29.1" customHeight="1">
      <c r="N607" s="774"/>
      <c r="O607" s="774"/>
      <c r="P607" s="774"/>
      <c r="Q607" s="774"/>
      <c r="R607" s="774"/>
      <c r="S607" s="774"/>
    </row>
    <row r="608" spans="14:19" ht="29.1" customHeight="1">
      <c r="N608" s="774"/>
      <c r="O608" s="774"/>
      <c r="P608" s="774"/>
      <c r="Q608" s="774"/>
      <c r="R608" s="774"/>
      <c r="S608" s="774"/>
    </row>
    <row r="609" spans="14:19" ht="29.1" customHeight="1">
      <c r="N609" s="774"/>
      <c r="O609" s="774"/>
      <c r="P609" s="774"/>
      <c r="Q609" s="774"/>
      <c r="R609" s="774"/>
      <c r="S609" s="774"/>
    </row>
    <row r="610" spans="14:19" ht="29.1" customHeight="1">
      <c r="N610" s="774"/>
      <c r="O610" s="774"/>
      <c r="P610" s="774"/>
      <c r="Q610" s="774"/>
      <c r="R610" s="774"/>
      <c r="S610" s="774"/>
    </row>
    <row r="611" spans="14:19" ht="29.1" customHeight="1">
      <c r="N611" s="774"/>
      <c r="O611" s="774"/>
      <c r="P611" s="774"/>
      <c r="Q611" s="774"/>
      <c r="R611" s="774"/>
      <c r="S611" s="774"/>
    </row>
    <row r="612" spans="14:19" ht="29.1" customHeight="1">
      <c r="N612" s="774"/>
      <c r="O612" s="774"/>
      <c r="P612" s="774"/>
      <c r="Q612" s="774"/>
      <c r="R612" s="774"/>
      <c r="S612" s="774"/>
    </row>
    <row r="613" spans="14:19" ht="29.1" customHeight="1">
      <c r="N613" s="774"/>
      <c r="O613" s="774"/>
      <c r="P613" s="774"/>
      <c r="Q613" s="774"/>
      <c r="R613" s="774"/>
      <c r="S613" s="774"/>
    </row>
    <row r="614" spans="14:19" ht="29.1" customHeight="1">
      <c r="N614" s="774"/>
      <c r="O614" s="774"/>
      <c r="P614" s="774"/>
      <c r="Q614" s="774"/>
      <c r="R614" s="774"/>
      <c r="S614" s="774"/>
    </row>
    <row r="615" spans="14:19" ht="29.1" customHeight="1">
      <c r="N615" s="774"/>
      <c r="O615" s="774"/>
      <c r="P615" s="774"/>
      <c r="Q615" s="774"/>
      <c r="R615" s="774"/>
      <c r="S615" s="774"/>
    </row>
    <row r="616" spans="14:19" ht="29.1" customHeight="1">
      <c r="N616" s="774"/>
      <c r="O616" s="774"/>
      <c r="P616" s="774"/>
      <c r="Q616" s="774"/>
      <c r="R616" s="774"/>
      <c r="S616" s="774"/>
    </row>
    <row r="617" spans="14:19" ht="29.1" customHeight="1">
      <c r="N617" s="774"/>
      <c r="O617" s="774"/>
      <c r="P617" s="774"/>
      <c r="Q617" s="774"/>
      <c r="R617" s="774"/>
      <c r="S617" s="774"/>
    </row>
    <row r="618" spans="14:19" ht="29.1" customHeight="1">
      <c r="N618" s="774"/>
      <c r="O618" s="774"/>
      <c r="P618" s="774"/>
      <c r="Q618" s="774"/>
      <c r="R618" s="774"/>
      <c r="S618" s="774"/>
    </row>
    <row r="619" spans="14:19" ht="29.1" customHeight="1">
      <c r="N619" s="774"/>
      <c r="O619" s="774"/>
      <c r="P619" s="774"/>
      <c r="Q619" s="774"/>
      <c r="R619" s="774"/>
      <c r="S619" s="774"/>
    </row>
    <row r="620" spans="14:19" ht="29.1" customHeight="1">
      <c r="N620" s="774"/>
      <c r="O620" s="774"/>
      <c r="P620" s="774"/>
      <c r="Q620" s="774"/>
      <c r="R620" s="774"/>
      <c r="S620" s="774"/>
    </row>
    <row r="621" spans="14:19" ht="29.1" customHeight="1">
      <c r="N621" s="774"/>
      <c r="O621" s="774"/>
      <c r="P621" s="774"/>
      <c r="Q621" s="774"/>
      <c r="R621" s="774"/>
      <c r="S621" s="774"/>
    </row>
    <row r="622" spans="14:19" ht="29.1" customHeight="1">
      <c r="N622" s="774"/>
      <c r="O622" s="774"/>
      <c r="P622" s="774"/>
      <c r="Q622" s="774"/>
      <c r="R622" s="774"/>
      <c r="S622" s="774"/>
    </row>
    <row r="623" spans="14:19" ht="29.1" customHeight="1">
      <c r="N623" s="774"/>
      <c r="O623" s="774"/>
      <c r="P623" s="774"/>
      <c r="Q623" s="774"/>
      <c r="R623" s="774"/>
      <c r="S623" s="774"/>
    </row>
    <row r="624" spans="14:19" ht="29.1" customHeight="1">
      <c r="N624" s="774"/>
      <c r="O624" s="774"/>
      <c r="P624" s="774"/>
      <c r="Q624" s="774"/>
      <c r="R624" s="774"/>
      <c r="S624" s="774"/>
    </row>
    <row r="625" spans="14:19" ht="29.1" customHeight="1">
      <c r="N625" s="774"/>
      <c r="O625" s="774"/>
      <c r="P625" s="774"/>
      <c r="Q625" s="774"/>
      <c r="R625" s="774"/>
      <c r="S625" s="774"/>
    </row>
    <row r="626" spans="14:19" ht="29.1" customHeight="1">
      <c r="N626" s="774"/>
      <c r="O626" s="774"/>
      <c r="P626" s="774"/>
      <c r="Q626" s="774"/>
      <c r="R626" s="774"/>
      <c r="S626" s="774"/>
    </row>
    <row r="627" spans="14:19" ht="29.1" customHeight="1">
      <c r="N627" s="774"/>
      <c r="O627" s="774"/>
      <c r="P627" s="774"/>
      <c r="Q627" s="774"/>
      <c r="R627" s="774"/>
      <c r="S627" s="774"/>
    </row>
    <row r="628" spans="14:19" ht="29.1" customHeight="1">
      <c r="N628" s="774"/>
      <c r="O628" s="774"/>
      <c r="P628" s="774"/>
      <c r="Q628" s="774"/>
      <c r="R628" s="774"/>
      <c r="S628" s="774"/>
    </row>
    <row r="629" spans="14:19" ht="29.1" customHeight="1">
      <c r="N629" s="774"/>
      <c r="O629" s="774"/>
      <c r="P629" s="774"/>
      <c r="Q629" s="774"/>
      <c r="R629" s="774"/>
      <c r="S629" s="774"/>
    </row>
    <row r="630" spans="14:19" ht="29.1" customHeight="1">
      <c r="N630" s="774"/>
      <c r="O630" s="774"/>
      <c r="P630" s="774"/>
      <c r="Q630" s="774"/>
      <c r="R630" s="774"/>
      <c r="S630" s="774"/>
    </row>
    <row r="631" spans="14:19" ht="29.1" customHeight="1">
      <c r="N631" s="774"/>
      <c r="O631" s="774"/>
      <c r="P631" s="774"/>
      <c r="Q631" s="774"/>
      <c r="R631" s="774"/>
      <c r="S631" s="774"/>
    </row>
    <row r="632" spans="14:19" ht="29.1" customHeight="1">
      <c r="N632" s="774"/>
      <c r="O632" s="774"/>
      <c r="P632" s="774"/>
      <c r="Q632" s="774"/>
      <c r="R632" s="774"/>
      <c r="S632" s="774"/>
    </row>
    <row r="633" spans="14:19" ht="29.1" customHeight="1">
      <c r="N633" s="774"/>
      <c r="O633" s="774"/>
      <c r="P633" s="774"/>
      <c r="Q633" s="774"/>
      <c r="R633" s="774"/>
      <c r="S633" s="774"/>
    </row>
    <row r="634" spans="14:19" ht="29.1" customHeight="1">
      <c r="N634" s="774"/>
      <c r="O634" s="774"/>
      <c r="P634" s="774"/>
      <c r="Q634" s="774"/>
      <c r="R634" s="774"/>
      <c r="S634" s="774"/>
    </row>
    <row r="635" spans="14:19" ht="29.1" customHeight="1">
      <c r="N635" s="774"/>
      <c r="O635" s="774"/>
      <c r="P635" s="774"/>
      <c r="Q635" s="774"/>
      <c r="R635" s="774"/>
      <c r="S635" s="774"/>
    </row>
    <row r="636" spans="14:19" ht="29.1" customHeight="1">
      <c r="N636" s="774"/>
      <c r="O636" s="774"/>
      <c r="P636" s="774"/>
      <c r="Q636" s="774"/>
      <c r="R636" s="774"/>
      <c r="S636" s="774"/>
    </row>
    <row r="637" spans="14:19" ht="29.1" customHeight="1">
      <c r="N637" s="774"/>
      <c r="O637" s="774"/>
      <c r="P637" s="774"/>
      <c r="Q637" s="774"/>
      <c r="R637" s="774"/>
      <c r="S637" s="774"/>
    </row>
    <row r="638" spans="14:19" ht="29.1" customHeight="1">
      <c r="N638" s="774"/>
      <c r="O638" s="774"/>
      <c r="P638" s="774"/>
      <c r="Q638" s="774"/>
      <c r="R638" s="774"/>
      <c r="S638" s="774"/>
    </row>
    <row r="639" spans="14:19" ht="29.1" customHeight="1">
      <c r="N639" s="774"/>
      <c r="O639" s="774"/>
      <c r="P639" s="774"/>
      <c r="Q639" s="774"/>
      <c r="R639" s="774"/>
      <c r="S639" s="774"/>
    </row>
    <row r="640" spans="14:19" ht="29.1" customHeight="1">
      <c r="N640" s="774"/>
      <c r="O640" s="774"/>
      <c r="P640" s="774"/>
      <c r="Q640" s="774"/>
      <c r="R640" s="774"/>
      <c r="S640" s="774"/>
    </row>
    <row r="641" spans="14:19" ht="29.1" customHeight="1">
      <c r="N641" s="774"/>
      <c r="O641" s="774"/>
      <c r="P641" s="774"/>
      <c r="Q641" s="774"/>
      <c r="R641" s="774"/>
      <c r="S641" s="774"/>
    </row>
    <row r="642" spans="14:19" ht="29.1" customHeight="1">
      <c r="N642" s="774"/>
      <c r="O642" s="774"/>
      <c r="P642" s="774"/>
      <c r="Q642" s="774"/>
      <c r="R642" s="774"/>
      <c r="S642" s="774"/>
    </row>
    <row r="643" spans="14:19" ht="29.1" customHeight="1">
      <c r="N643" s="774"/>
      <c r="O643" s="774"/>
      <c r="P643" s="774"/>
      <c r="Q643" s="774"/>
      <c r="R643" s="774"/>
      <c r="S643" s="774"/>
    </row>
    <row r="644" spans="14:19" ht="29.1" customHeight="1">
      <c r="N644" s="774"/>
      <c r="O644" s="774"/>
      <c r="P644" s="774"/>
      <c r="Q644" s="774"/>
      <c r="R644" s="774"/>
      <c r="S644" s="774"/>
    </row>
    <row r="645" spans="14:19" ht="29.1" customHeight="1">
      <c r="N645" s="774"/>
      <c r="O645" s="774"/>
      <c r="P645" s="774"/>
      <c r="Q645" s="774"/>
      <c r="R645" s="774"/>
      <c r="S645" s="774"/>
    </row>
    <row r="646" spans="14:19" ht="29.1" customHeight="1">
      <c r="N646" s="774"/>
      <c r="O646" s="774"/>
      <c r="P646" s="774"/>
      <c r="Q646" s="774"/>
      <c r="R646" s="774"/>
      <c r="S646" s="774"/>
    </row>
    <row r="647" spans="14:19" ht="29.1" customHeight="1">
      <c r="N647" s="774"/>
      <c r="O647" s="774"/>
      <c r="P647" s="774"/>
      <c r="Q647" s="774"/>
      <c r="R647" s="774"/>
      <c r="S647" s="774"/>
    </row>
    <row r="648" spans="14:19" ht="29.1" customHeight="1">
      <c r="N648" s="774"/>
      <c r="O648" s="774"/>
      <c r="P648" s="774"/>
      <c r="Q648" s="774"/>
      <c r="R648" s="774"/>
      <c r="S648" s="774"/>
    </row>
    <row r="649" spans="14:19" ht="29.1" customHeight="1">
      <c r="N649" s="774"/>
      <c r="O649" s="774"/>
      <c r="P649" s="774"/>
      <c r="Q649" s="774"/>
      <c r="R649" s="774"/>
      <c r="S649" s="774"/>
    </row>
    <row r="650" spans="14:19" ht="29.1" customHeight="1">
      <c r="N650" s="774"/>
      <c r="O650" s="774"/>
      <c r="P650" s="774"/>
      <c r="Q650" s="774"/>
      <c r="R650" s="774"/>
      <c r="S650" s="774"/>
    </row>
    <row r="651" spans="14:19" ht="29.1" customHeight="1">
      <c r="N651" s="774"/>
      <c r="O651" s="774"/>
      <c r="P651" s="774"/>
      <c r="Q651" s="774"/>
      <c r="R651" s="774"/>
      <c r="S651" s="774"/>
    </row>
    <row r="652" spans="14:19" ht="29.1" customHeight="1">
      <c r="N652" s="774"/>
      <c r="O652" s="774"/>
      <c r="P652" s="774"/>
      <c r="Q652" s="774"/>
      <c r="R652" s="774"/>
      <c r="S652" s="774"/>
    </row>
    <row r="653" spans="14:19" ht="29.1" customHeight="1">
      <c r="N653" s="774"/>
      <c r="O653" s="774"/>
      <c r="P653" s="774"/>
      <c r="Q653" s="774"/>
      <c r="R653" s="774"/>
      <c r="S653" s="774"/>
    </row>
    <row r="654" spans="14:19" ht="29.1" customHeight="1">
      <c r="N654" s="774"/>
      <c r="O654" s="774"/>
      <c r="P654" s="774"/>
      <c r="Q654" s="774"/>
      <c r="R654" s="774"/>
      <c r="S654" s="774"/>
    </row>
    <row r="655" spans="14:19" ht="29.1" customHeight="1">
      <c r="N655" s="774"/>
      <c r="O655" s="774"/>
      <c r="P655" s="774"/>
      <c r="Q655" s="774"/>
      <c r="R655" s="774"/>
      <c r="S655" s="774"/>
    </row>
    <row r="656" spans="14:19" ht="29.1" customHeight="1">
      <c r="N656" s="774"/>
      <c r="O656" s="774"/>
      <c r="P656" s="774"/>
      <c r="Q656" s="774"/>
      <c r="R656" s="774"/>
      <c r="S656" s="774"/>
    </row>
    <row r="657" spans="14:19" ht="29.1" customHeight="1">
      <c r="N657" s="774"/>
      <c r="O657" s="774"/>
      <c r="P657" s="774"/>
      <c r="Q657" s="774"/>
      <c r="R657" s="774"/>
      <c r="S657" s="774"/>
    </row>
    <row r="658" spans="14:19" ht="29.1" customHeight="1">
      <c r="N658" s="774"/>
      <c r="O658" s="774"/>
      <c r="P658" s="774"/>
      <c r="Q658" s="774"/>
      <c r="R658" s="774"/>
      <c r="S658" s="774"/>
    </row>
    <row r="659" spans="14:19" ht="29.1" customHeight="1">
      <c r="N659" s="774"/>
      <c r="O659" s="774"/>
      <c r="P659" s="774"/>
      <c r="Q659" s="774"/>
      <c r="R659" s="774"/>
      <c r="S659" s="774"/>
    </row>
    <row r="660" spans="14:19" ht="29.1" customHeight="1">
      <c r="N660" s="774"/>
      <c r="O660" s="774"/>
      <c r="P660" s="774"/>
      <c r="Q660" s="774"/>
      <c r="R660" s="774"/>
      <c r="S660" s="774"/>
    </row>
    <row r="661" spans="14:19" ht="29.1" customHeight="1">
      <c r="N661" s="774"/>
      <c r="O661" s="774"/>
      <c r="P661" s="774"/>
      <c r="Q661" s="774"/>
      <c r="R661" s="774"/>
      <c r="S661" s="774"/>
    </row>
    <row r="662" spans="14:19" ht="29.1" customHeight="1">
      <c r="N662" s="774"/>
      <c r="O662" s="774"/>
      <c r="P662" s="774"/>
      <c r="Q662" s="774"/>
      <c r="R662" s="774"/>
      <c r="S662" s="774"/>
    </row>
    <row r="663" spans="14:19" ht="29.1" customHeight="1">
      <c r="N663" s="774"/>
      <c r="O663" s="774"/>
      <c r="P663" s="774"/>
      <c r="Q663" s="774"/>
      <c r="R663" s="774"/>
      <c r="S663" s="774"/>
    </row>
    <row r="664" spans="14:19" ht="29.1" customHeight="1">
      <c r="N664" s="774"/>
      <c r="O664" s="774"/>
      <c r="P664" s="774"/>
      <c r="Q664" s="774"/>
      <c r="R664" s="774"/>
      <c r="S664" s="774"/>
    </row>
    <row r="665" spans="14:19" ht="29.1" customHeight="1">
      <c r="N665" s="774"/>
      <c r="O665" s="774"/>
      <c r="P665" s="774"/>
      <c r="Q665" s="774"/>
      <c r="R665" s="774"/>
      <c r="S665" s="774"/>
    </row>
    <row r="666" spans="14:19" ht="29.1" customHeight="1">
      <c r="N666" s="774"/>
      <c r="O666" s="774"/>
      <c r="P666" s="774"/>
      <c r="Q666" s="774"/>
      <c r="R666" s="774"/>
      <c r="S666" s="774"/>
    </row>
    <row r="667" spans="14:19" ht="29.1" customHeight="1">
      <c r="N667" s="774"/>
      <c r="O667" s="774"/>
      <c r="P667" s="774"/>
      <c r="Q667" s="774"/>
      <c r="R667" s="774"/>
      <c r="S667" s="774"/>
    </row>
    <row r="668" spans="14:19" ht="29.1" customHeight="1">
      <c r="N668" s="774"/>
      <c r="O668" s="774"/>
      <c r="P668" s="774"/>
      <c r="Q668" s="774"/>
      <c r="R668" s="774"/>
      <c r="S668" s="774"/>
    </row>
    <row r="669" spans="14:19" ht="29.1" customHeight="1">
      <c r="N669" s="774"/>
      <c r="O669" s="774"/>
      <c r="P669" s="774"/>
      <c r="Q669" s="774"/>
      <c r="R669" s="774"/>
      <c r="S669" s="774"/>
    </row>
    <row r="670" spans="14:19" ht="29.1" customHeight="1">
      <c r="N670" s="774"/>
      <c r="O670" s="774"/>
      <c r="P670" s="774"/>
      <c r="Q670" s="774"/>
      <c r="R670" s="774"/>
      <c r="S670" s="774"/>
    </row>
    <row r="671" spans="14:19" ht="29.1" customHeight="1">
      <c r="N671" s="774"/>
      <c r="O671" s="774"/>
      <c r="P671" s="774"/>
      <c r="Q671" s="774"/>
      <c r="R671" s="774"/>
      <c r="S671" s="774"/>
    </row>
    <row r="672" spans="14:19" ht="29.1" customHeight="1">
      <c r="N672" s="774"/>
      <c r="O672" s="774"/>
      <c r="P672" s="774"/>
      <c r="Q672" s="774"/>
      <c r="R672" s="774"/>
      <c r="S672" s="774"/>
    </row>
    <row r="673" spans="14:19" ht="29.1" customHeight="1">
      <c r="N673" s="774"/>
      <c r="O673" s="774"/>
      <c r="P673" s="774"/>
      <c r="Q673" s="774"/>
      <c r="R673" s="774"/>
      <c r="S673" s="774"/>
    </row>
    <row r="674" spans="14:19" ht="29.1" customHeight="1">
      <c r="N674" s="774"/>
      <c r="O674" s="774"/>
      <c r="P674" s="774"/>
      <c r="Q674" s="774"/>
      <c r="R674" s="774"/>
      <c r="S674" s="774"/>
    </row>
    <row r="675" spans="14:19" ht="29.1" customHeight="1">
      <c r="N675" s="774"/>
      <c r="O675" s="774"/>
      <c r="P675" s="774"/>
      <c r="Q675" s="774"/>
      <c r="R675" s="774"/>
      <c r="S675" s="774"/>
    </row>
    <row r="676" spans="14:19" ht="29.1" customHeight="1">
      <c r="N676" s="774"/>
      <c r="O676" s="774"/>
      <c r="P676" s="774"/>
      <c r="Q676" s="774"/>
      <c r="R676" s="774"/>
      <c r="S676" s="774"/>
    </row>
    <row r="677" spans="14:19" ht="29.1" customHeight="1">
      <c r="N677" s="774"/>
      <c r="O677" s="774"/>
      <c r="P677" s="774"/>
      <c r="Q677" s="774"/>
      <c r="R677" s="774"/>
      <c r="S677" s="774"/>
    </row>
    <row r="678" spans="14:19" ht="29.1" customHeight="1">
      <c r="N678" s="774"/>
      <c r="O678" s="774"/>
      <c r="P678" s="774"/>
      <c r="Q678" s="774"/>
      <c r="R678" s="774"/>
      <c r="S678" s="774"/>
    </row>
    <row r="679" spans="14:19" ht="29.1" customHeight="1">
      <c r="N679" s="774"/>
      <c r="O679" s="774"/>
      <c r="P679" s="774"/>
      <c r="Q679" s="774"/>
      <c r="R679" s="774"/>
      <c r="S679" s="774"/>
    </row>
    <row r="680" spans="14:19" ht="29.1" customHeight="1">
      <c r="N680" s="774"/>
      <c r="O680" s="774"/>
      <c r="P680" s="774"/>
      <c r="Q680" s="774"/>
      <c r="R680" s="774"/>
      <c r="S680" s="774"/>
    </row>
    <row r="681" spans="14:19" ht="29.1" customHeight="1">
      <c r="N681" s="774"/>
      <c r="O681" s="774"/>
      <c r="P681" s="774"/>
      <c r="Q681" s="774"/>
      <c r="R681" s="774"/>
      <c r="S681" s="774"/>
    </row>
    <row r="682" spans="14:19" ht="29.1" customHeight="1">
      <c r="N682" s="774"/>
      <c r="O682" s="774"/>
      <c r="P682" s="774"/>
      <c r="Q682" s="774"/>
      <c r="R682" s="774"/>
      <c r="S682" s="774"/>
    </row>
    <row r="683" spans="14:19" ht="29.1" customHeight="1">
      <c r="N683" s="774"/>
      <c r="O683" s="774"/>
      <c r="P683" s="774"/>
      <c r="Q683" s="774"/>
      <c r="R683" s="774"/>
      <c r="S683" s="774"/>
    </row>
    <row r="684" spans="14:19" ht="29.1" customHeight="1">
      <c r="N684" s="774"/>
      <c r="O684" s="774"/>
      <c r="P684" s="774"/>
      <c r="Q684" s="774"/>
      <c r="R684" s="774"/>
      <c r="S684" s="774"/>
    </row>
    <row r="685" spans="14:19" ht="29.1" customHeight="1">
      <c r="N685" s="774"/>
      <c r="O685" s="774"/>
      <c r="P685" s="774"/>
      <c r="Q685" s="774"/>
      <c r="R685" s="774"/>
      <c r="S685" s="774"/>
    </row>
    <row r="686" spans="14:19" ht="29.1" customHeight="1">
      <c r="N686" s="774"/>
      <c r="O686" s="774"/>
      <c r="P686" s="774"/>
      <c r="Q686" s="774"/>
      <c r="R686" s="774"/>
      <c r="S686" s="774"/>
    </row>
    <row r="687" spans="14:19" ht="29.1" customHeight="1">
      <c r="N687" s="774"/>
      <c r="O687" s="774"/>
      <c r="P687" s="774"/>
      <c r="Q687" s="774"/>
      <c r="R687" s="774"/>
      <c r="S687" s="774"/>
    </row>
    <row r="688" spans="14:19" ht="29.1" customHeight="1">
      <c r="N688" s="774"/>
      <c r="O688" s="774"/>
      <c r="P688" s="774"/>
      <c r="Q688" s="774"/>
      <c r="R688" s="774"/>
      <c r="S688" s="774"/>
    </row>
    <row r="689" spans="14:19" ht="29.1" customHeight="1">
      <c r="N689" s="774"/>
      <c r="O689" s="774"/>
      <c r="P689" s="774"/>
      <c r="Q689" s="774"/>
      <c r="R689" s="774"/>
      <c r="S689" s="774"/>
    </row>
    <row r="690" spans="14:19" ht="29.1" customHeight="1">
      <c r="N690" s="774"/>
      <c r="O690" s="774"/>
      <c r="P690" s="774"/>
      <c r="Q690" s="774"/>
      <c r="R690" s="774"/>
      <c r="S690" s="774"/>
    </row>
    <row r="691" spans="14:19" ht="29.1" customHeight="1">
      <c r="N691" s="774"/>
      <c r="O691" s="774"/>
      <c r="P691" s="774"/>
      <c r="Q691" s="774"/>
      <c r="R691" s="774"/>
      <c r="S691" s="774"/>
    </row>
    <row r="692" spans="14:19" ht="29.1" customHeight="1">
      <c r="N692" s="774"/>
      <c r="O692" s="774"/>
      <c r="P692" s="774"/>
      <c r="Q692" s="774"/>
      <c r="R692" s="774"/>
      <c r="S692" s="774"/>
    </row>
    <row r="693" spans="14:19" ht="29.1" customHeight="1">
      <c r="N693" s="774"/>
      <c r="O693" s="774"/>
      <c r="P693" s="774"/>
      <c r="Q693" s="774"/>
      <c r="R693" s="774"/>
      <c r="S693" s="774"/>
    </row>
    <row r="694" spans="14:19" ht="29.1" customHeight="1">
      <c r="N694" s="774"/>
      <c r="O694" s="774"/>
      <c r="P694" s="774"/>
      <c r="Q694" s="774"/>
      <c r="R694" s="774"/>
      <c r="S694" s="774"/>
    </row>
    <row r="695" spans="14:19" ht="29.1" customHeight="1">
      <c r="N695" s="774"/>
      <c r="O695" s="774"/>
      <c r="P695" s="774"/>
      <c r="Q695" s="774"/>
      <c r="R695" s="774"/>
      <c r="S695" s="774"/>
    </row>
    <row r="696" spans="14:19" ht="29.1" customHeight="1">
      <c r="N696" s="774"/>
      <c r="O696" s="774"/>
      <c r="P696" s="774"/>
      <c r="Q696" s="774"/>
      <c r="R696" s="774"/>
      <c r="S696" s="774"/>
    </row>
    <row r="697" spans="14:19" ht="29.1" customHeight="1">
      <c r="N697" s="774"/>
      <c r="O697" s="774"/>
      <c r="P697" s="774"/>
      <c r="Q697" s="774"/>
      <c r="R697" s="774"/>
      <c r="S697" s="774"/>
    </row>
    <row r="698" spans="14:19" ht="29.1" customHeight="1">
      <c r="N698" s="774"/>
      <c r="O698" s="774"/>
      <c r="P698" s="774"/>
      <c r="Q698" s="774"/>
      <c r="R698" s="774"/>
      <c r="S698" s="774"/>
    </row>
    <row r="699" spans="14:19" ht="29.1" customHeight="1">
      <c r="N699" s="774"/>
      <c r="O699" s="774"/>
      <c r="P699" s="774"/>
      <c r="Q699" s="774"/>
      <c r="R699" s="774"/>
      <c r="S699" s="774"/>
    </row>
    <row r="700" spans="14:19" ht="29.1" customHeight="1">
      <c r="N700" s="774"/>
      <c r="O700" s="774"/>
      <c r="P700" s="774"/>
      <c r="Q700" s="774"/>
      <c r="R700" s="774"/>
      <c r="S700" s="774"/>
    </row>
    <row r="701" spans="14:19" ht="29.1" customHeight="1">
      <c r="N701" s="774"/>
      <c r="O701" s="774"/>
      <c r="P701" s="774"/>
      <c r="Q701" s="774"/>
      <c r="R701" s="774"/>
      <c r="S701" s="774"/>
    </row>
    <row r="702" spans="14:19" ht="29.1" customHeight="1">
      <c r="N702" s="774"/>
      <c r="O702" s="774"/>
      <c r="P702" s="774"/>
      <c r="Q702" s="774"/>
      <c r="R702" s="774"/>
      <c r="S702" s="774"/>
    </row>
    <row r="703" spans="14:19" ht="29.1" customHeight="1">
      <c r="N703" s="774"/>
      <c r="O703" s="774"/>
      <c r="P703" s="774"/>
      <c r="Q703" s="774"/>
      <c r="R703" s="774"/>
      <c r="S703" s="774"/>
    </row>
    <row r="704" spans="14:19" ht="29.1" customHeight="1">
      <c r="N704" s="774"/>
      <c r="O704" s="774"/>
      <c r="P704" s="774"/>
      <c r="Q704" s="774"/>
      <c r="R704" s="774"/>
      <c r="S704" s="774"/>
    </row>
    <row r="705" spans="14:19" ht="29.1" customHeight="1">
      <c r="N705" s="774"/>
      <c r="O705" s="774"/>
      <c r="P705" s="774"/>
      <c r="Q705" s="774"/>
      <c r="R705" s="774"/>
      <c r="S705" s="774"/>
    </row>
    <row r="706" spans="14:19" ht="29.1" customHeight="1">
      <c r="N706" s="774"/>
      <c r="O706" s="774"/>
      <c r="P706" s="774"/>
      <c r="Q706" s="774"/>
      <c r="R706" s="774"/>
      <c r="S706" s="774"/>
    </row>
    <row r="707" spans="14:19" ht="29.1" customHeight="1">
      <c r="N707" s="774"/>
      <c r="O707" s="774"/>
      <c r="P707" s="774"/>
      <c r="Q707" s="774"/>
      <c r="R707" s="774"/>
      <c r="S707" s="774"/>
    </row>
    <row r="708" spans="14:19" ht="29.1" customHeight="1">
      <c r="N708" s="774"/>
      <c r="O708" s="774"/>
      <c r="P708" s="774"/>
      <c r="Q708" s="774"/>
      <c r="R708" s="774"/>
      <c r="S708" s="774"/>
    </row>
    <row r="709" spans="14:19" ht="29.1" customHeight="1">
      <c r="N709" s="774"/>
      <c r="O709" s="774"/>
      <c r="P709" s="774"/>
      <c r="Q709" s="774"/>
      <c r="R709" s="774"/>
      <c r="S709" s="774"/>
    </row>
    <row r="710" spans="14:19" ht="29.1" customHeight="1">
      <c r="N710" s="774"/>
      <c r="O710" s="774"/>
      <c r="P710" s="774"/>
      <c r="Q710" s="774"/>
      <c r="R710" s="774"/>
      <c r="S710" s="774"/>
    </row>
    <row r="711" spans="14:19" ht="29.1" customHeight="1">
      <c r="N711" s="774"/>
      <c r="O711" s="774"/>
      <c r="P711" s="774"/>
      <c r="Q711" s="774"/>
      <c r="R711" s="774"/>
      <c r="S711" s="774"/>
    </row>
    <row r="712" spans="14:19" ht="29.1" customHeight="1">
      <c r="N712" s="774"/>
      <c r="O712" s="774"/>
      <c r="P712" s="774"/>
      <c r="Q712" s="774"/>
      <c r="R712" s="774"/>
      <c r="S712" s="774"/>
    </row>
    <row r="713" spans="14:19" ht="29.1" customHeight="1">
      <c r="N713" s="774"/>
      <c r="O713" s="774"/>
      <c r="P713" s="774"/>
      <c r="Q713" s="774"/>
      <c r="R713" s="774"/>
      <c r="S713" s="774"/>
    </row>
    <row r="714" spans="14:19" ht="29.1" customHeight="1">
      <c r="N714" s="774"/>
      <c r="O714" s="774"/>
      <c r="P714" s="774"/>
      <c r="Q714" s="774"/>
      <c r="R714" s="774"/>
      <c r="S714" s="774"/>
    </row>
    <row r="715" spans="14:19" ht="29.1" customHeight="1">
      <c r="N715" s="774"/>
      <c r="O715" s="774"/>
      <c r="P715" s="774"/>
      <c r="Q715" s="774"/>
      <c r="R715" s="774"/>
      <c r="S715" s="774"/>
    </row>
    <row r="716" spans="14:19" ht="29.1" customHeight="1">
      <c r="N716" s="774"/>
      <c r="O716" s="774"/>
      <c r="P716" s="774"/>
      <c r="Q716" s="774"/>
      <c r="R716" s="774"/>
      <c r="S716" s="774"/>
    </row>
    <row r="717" spans="14:19" ht="29.1" customHeight="1">
      <c r="N717" s="774"/>
      <c r="O717" s="774"/>
      <c r="P717" s="774"/>
      <c r="Q717" s="774"/>
      <c r="R717" s="774"/>
      <c r="S717" s="774"/>
    </row>
    <row r="718" spans="14:19" ht="29.1" customHeight="1">
      <c r="N718" s="774"/>
      <c r="O718" s="774"/>
      <c r="P718" s="774"/>
      <c r="Q718" s="774"/>
      <c r="R718" s="774"/>
      <c r="S718" s="774"/>
    </row>
    <row r="719" spans="14:19" ht="29.1" customHeight="1">
      <c r="N719" s="774"/>
      <c r="O719" s="774"/>
      <c r="P719" s="774"/>
      <c r="Q719" s="774"/>
      <c r="R719" s="774"/>
      <c r="S719" s="774"/>
    </row>
    <row r="720" spans="14:19" ht="29.1" customHeight="1">
      <c r="N720" s="774"/>
      <c r="O720" s="774"/>
      <c r="P720" s="774"/>
      <c r="Q720" s="774"/>
      <c r="R720" s="774"/>
      <c r="S720" s="774"/>
    </row>
    <row r="721" spans="14:19" ht="29.1" customHeight="1">
      <c r="N721" s="774"/>
      <c r="O721" s="774"/>
      <c r="P721" s="774"/>
      <c r="Q721" s="774"/>
      <c r="R721" s="774"/>
      <c r="S721" s="774"/>
    </row>
    <row r="722" spans="14:19" ht="29.1" customHeight="1">
      <c r="N722" s="774"/>
      <c r="O722" s="774"/>
      <c r="P722" s="774"/>
      <c r="Q722" s="774"/>
      <c r="R722" s="774"/>
      <c r="S722" s="774"/>
    </row>
    <row r="723" spans="14:19" ht="29.1" customHeight="1">
      <c r="N723" s="774"/>
      <c r="O723" s="774"/>
      <c r="P723" s="774"/>
      <c r="Q723" s="774"/>
      <c r="R723" s="774"/>
      <c r="S723" s="774"/>
    </row>
    <row r="724" spans="14:19" ht="29.1" customHeight="1">
      <c r="N724" s="774"/>
      <c r="O724" s="774"/>
      <c r="P724" s="774"/>
      <c r="Q724" s="774"/>
      <c r="R724" s="774"/>
      <c r="S724" s="774"/>
    </row>
    <row r="725" spans="14:19" ht="29.1" customHeight="1">
      <c r="N725" s="774"/>
      <c r="O725" s="774"/>
      <c r="P725" s="774"/>
      <c r="Q725" s="774"/>
      <c r="R725" s="774"/>
      <c r="S725" s="774"/>
    </row>
    <row r="726" spans="14:19" ht="29.1" customHeight="1">
      <c r="N726" s="774"/>
      <c r="O726" s="774"/>
      <c r="P726" s="774"/>
      <c r="Q726" s="774"/>
      <c r="R726" s="774"/>
      <c r="S726" s="774"/>
    </row>
    <row r="727" spans="14:19" ht="29.1" customHeight="1">
      <c r="N727" s="774"/>
      <c r="O727" s="774"/>
      <c r="P727" s="774"/>
      <c r="Q727" s="774"/>
      <c r="R727" s="774"/>
      <c r="S727" s="774"/>
    </row>
    <row r="728" spans="14:19" ht="29.1" customHeight="1">
      <c r="N728" s="774"/>
      <c r="O728" s="774"/>
      <c r="P728" s="774"/>
      <c r="Q728" s="774"/>
      <c r="R728" s="774"/>
      <c r="S728" s="774"/>
    </row>
    <row r="729" spans="14:19" ht="29.1" customHeight="1">
      <c r="N729" s="774"/>
      <c r="O729" s="774"/>
      <c r="P729" s="774"/>
      <c r="Q729" s="774"/>
      <c r="R729" s="774"/>
      <c r="S729" s="774"/>
    </row>
    <row r="730" spans="14:19" ht="29.1" customHeight="1">
      <c r="N730" s="774"/>
      <c r="O730" s="774"/>
      <c r="P730" s="774"/>
      <c r="Q730" s="774"/>
      <c r="R730" s="774"/>
      <c r="S730" s="774"/>
    </row>
    <row r="731" spans="14:19" ht="29.1" customHeight="1">
      <c r="N731" s="774"/>
      <c r="O731" s="774"/>
      <c r="P731" s="774"/>
      <c r="Q731" s="774"/>
      <c r="R731" s="774"/>
      <c r="S731" s="774"/>
    </row>
    <row r="732" spans="14:19" ht="29.1" customHeight="1">
      <c r="N732" s="774"/>
      <c r="O732" s="774"/>
      <c r="P732" s="774"/>
      <c r="Q732" s="774"/>
      <c r="R732" s="774"/>
      <c r="S732" s="774"/>
    </row>
    <row r="733" spans="14:19" ht="29.1" customHeight="1">
      <c r="N733" s="774"/>
      <c r="O733" s="774"/>
      <c r="P733" s="774"/>
      <c r="Q733" s="774"/>
      <c r="R733" s="774"/>
      <c r="S733" s="774"/>
    </row>
    <row r="734" spans="14:19" ht="29.1" customHeight="1">
      <c r="N734" s="774"/>
      <c r="O734" s="774"/>
      <c r="P734" s="774"/>
      <c r="Q734" s="774"/>
      <c r="R734" s="774"/>
      <c r="S734" s="774"/>
    </row>
    <row r="735" spans="14:19" ht="29.1" customHeight="1">
      <c r="N735" s="774"/>
      <c r="O735" s="774"/>
      <c r="P735" s="774"/>
      <c r="Q735" s="774"/>
      <c r="R735" s="774"/>
      <c r="S735" s="774"/>
    </row>
    <row r="736" spans="14:19" ht="29.1" customHeight="1">
      <c r="N736" s="774"/>
      <c r="O736" s="774"/>
      <c r="P736" s="774"/>
      <c r="Q736" s="774"/>
      <c r="R736" s="774"/>
      <c r="S736" s="774"/>
    </row>
    <row r="737" spans="14:19" ht="29.1" customHeight="1">
      <c r="N737" s="774"/>
      <c r="O737" s="774"/>
      <c r="P737" s="774"/>
      <c r="Q737" s="774"/>
      <c r="R737" s="774"/>
      <c r="S737" s="774"/>
    </row>
    <row r="738" spans="14:19" ht="29.1" customHeight="1">
      <c r="N738" s="774"/>
      <c r="O738" s="774"/>
      <c r="P738" s="774"/>
      <c r="Q738" s="774"/>
      <c r="R738" s="774"/>
      <c r="S738" s="774"/>
    </row>
    <row r="739" spans="14:19" ht="29.1" customHeight="1">
      <c r="N739" s="774"/>
      <c r="O739" s="774"/>
      <c r="P739" s="774"/>
      <c r="Q739" s="774"/>
      <c r="R739" s="774"/>
      <c r="S739" s="774"/>
    </row>
    <row r="740" spans="14:19" ht="29.1" customHeight="1">
      <c r="N740" s="774"/>
      <c r="O740" s="774"/>
      <c r="P740" s="774"/>
      <c r="Q740" s="774"/>
      <c r="R740" s="774"/>
      <c r="S740" s="774"/>
    </row>
    <row r="741" spans="14:19" ht="29.1" customHeight="1">
      <c r="N741" s="774"/>
      <c r="O741" s="774"/>
      <c r="P741" s="774"/>
      <c r="Q741" s="774"/>
      <c r="R741" s="774"/>
      <c r="S741" s="774"/>
    </row>
    <row r="742" spans="14:19" ht="29.1" customHeight="1">
      <c r="N742" s="774"/>
      <c r="O742" s="774"/>
      <c r="P742" s="774"/>
      <c r="Q742" s="774"/>
      <c r="R742" s="774"/>
      <c r="S742" s="774"/>
    </row>
    <row r="743" spans="14:19" ht="29.1" customHeight="1">
      <c r="N743" s="774"/>
      <c r="O743" s="774"/>
      <c r="P743" s="774"/>
      <c r="Q743" s="774"/>
      <c r="R743" s="774"/>
      <c r="S743" s="774"/>
    </row>
    <row r="744" spans="14:19" ht="29.1" customHeight="1">
      <c r="N744" s="774"/>
      <c r="O744" s="774"/>
      <c r="P744" s="774"/>
      <c r="Q744" s="774"/>
      <c r="R744" s="774"/>
      <c r="S744" s="774"/>
    </row>
    <row r="745" spans="14:19" ht="29.1" customHeight="1">
      <c r="N745" s="774"/>
      <c r="O745" s="774"/>
      <c r="P745" s="774"/>
      <c r="Q745" s="774"/>
      <c r="R745" s="774"/>
      <c r="S745" s="774"/>
    </row>
    <row r="746" spans="14:19" ht="29.1" customHeight="1">
      <c r="N746" s="774"/>
      <c r="O746" s="774"/>
      <c r="P746" s="774"/>
      <c r="Q746" s="774"/>
      <c r="R746" s="774"/>
      <c r="S746" s="774"/>
    </row>
    <row r="747" spans="14:19" ht="29.1" customHeight="1">
      <c r="N747" s="774"/>
      <c r="O747" s="774"/>
      <c r="P747" s="774"/>
      <c r="Q747" s="774"/>
      <c r="R747" s="774"/>
      <c r="S747" s="774"/>
    </row>
    <row r="748" spans="14:19" ht="29.1" customHeight="1">
      <c r="N748" s="774"/>
      <c r="O748" s="774"/>
      <c r="P748" s="774"/>
      <c r="Q748" s="774"/>
      <c r="R748" s="774"/>
      <c r="S748" s="774"/>
    </row>
    <row r="749" spans="14:19" ht="29.1" customHeight="1">
      <c r="N749" s="774"/>
      <c r="O749" s="774"/>
      <c r="P749" s="774"/>
      <c r="Q749" s="774"/>
      <c r="R749" s="774"/>
      <c r="S749" s="774"/>
    </row>
    <row r="750" spans="14:19" ht="29.1" customHeight="1">
      <c r="N750" s="774"/>
      <c r="O750" s="774"/>
      <c r="P750" s="774"/>
      <c r="Q750" s="774"/>
      <c r="R750" s="774"/>
      <c r="S750" s="774"/>
    </row>
    <row r="751" spans="14:19" ht="29.1" customHeight="1">
      <c r="N751" s="774"/>
      <c r="O751" s="774"/>
      <c r="P751" s="774"/>
      <c r="Q751" s="774"/>
      <c r="R751" s="774"/>
      <c r="S751" s="774"/>
    </row>
    <row r="752" spans="14:19" ht="29.1" customHeight="1">
      <c r="N752" s="774"/>
      <c r="O752" s="774"/>
      <c r="P752" s="774"/>
      <c r="Q752" s="774"/>
      <c r="R752" s="774"/>
      <c r="S752" s="774"/>
    </row>
    <row r="753" spans="14:19" ht="29.1" customHeight="1">
      <c r="N753" s="774"/>
      <c r="O753" s="774"/>
      <c r="P753" s="774"/>
      <c r="Q753" s="774"/>
      <c r="R753" s="774"/>
      <c r="S753" s="774"/>
    </row>
    <row r="754" spans="14:19" ht="29.1" customHeight="1">
      <c r="N754" s="774"/>
      <c r="O754" s="774"/>
      <c r="P754" s="774"/>
      <c r="Q754" s="774"/>
      <c r="R754" s="774"/>
      <c r="S754" s="774"/>
    </row>
    <row r="755" spans="14:19" ht="29.1" customHeight="1">
      <c r="N755" s="774"/>
      <c r="O755" s="774"/>
      <c r="P755" s="774"/>
      <c r="Q755" s="774"/>
      <c r="R755" s="774"/>
      <c r="S755" s="774"/>
    </row>
    <row r="756" spans="14:19" ht="29.1" customHeight="1">
      <c r="N756" s="774"/>
      <c r="O756" s="774"/>
      <c r="P756" s="774"/>
      <c r="Q756" s="774"/>
      <c r="R756" s="774"/>
      <c r="S756" s="774"/>
    </row>
    <row r="757" spans="14:19" ht="29.1" customHeight="1">
      <c r="N757" s="774"/>
      <c r="O757" s="774"/>
      <c r="P757" s="774"/>
      <c r="Q757" s="774"/>
      <c r="R757" s="774"/>
      <c r="S757" s="774"/>
    </row>
    <row r="758" spans="14:19" ht="29.1" customHeight="1">
      <c r="N758" s="774"/>
      <c r="O758" s="774"/>
      <c r="P758" s="774"/>
      <c r="Q758" s="774"/>
      <c r="R758" s="774"/>
      <c r="S758" s="774"/>
    </row>
    <row r="759" spans="14:19" ht="29.1" customHeight="1">
      <c r="N759" s="774"/>
      <c r="O759" s="774"/>
      <c r="P759" s="774"/>
      <c r="Q759" s="774"/>
      <c r="R759" s="774"/>
      <c r="S759" s="774"/>
    </row>
    <row r="760" spans="14:19" ht="29.1" customHeight="1">
      <c r="N760" s="774"/>
      <c r="O760" s="774"/>
      <c r="P760" s="774"/>
      <c r="Q760" s="774"/>
      <c r="R760" s="774"/>
      <c r="S760" s="774"/>
    </row>
    <row r="761" spans="14:19" ht="29.1" customHeight="1">
      <c r="N761" s="774"/>
      <c r="O761" s="774"/>
      <c r="P761" s="774"/>
      <c r="Q761" s="774"/>
      <c r="R761" s="774"/>
      <c r="S761" s="774"/>
    </row>
    <row r="762" spans="14:19" ht="29.1" customHeight="1">
      <c r="N762" s="774"/>
      <c r="O762" s="774"/>
      <c r="P762" s="774"/>
      <c r="Q762" s="774"/>
      <c r="R762" s="774"/>
      <c r="S762" s="774"/>
    </row>
    <row r="763" spans="14:19" ht="29.1" customHeight="1">
      <c r="N763" s="774"/>
      <c r="O763" s="774"/>
      <c r="P763" s="774"/>
      <c r="Q763" s="774"/>
      <c r="R763" s="774"/>
      <c r="S763" s="774"/>
    </row>
    <row r="764" spans="14:19" ht="29.1" customHeight="1">
      <c r="N764" s="774"/>
      <c r="O764" s="774"/>
      <c r="P764" s="774"/>
      <c r="Q764" s="774"/>
      <c r="R764" s="774"/>
      <c r="S764" s="774"/>
    </row>
    <row r="765" spans="14:19" ht="29.1" customHeight="1">
      <c r="N765" s="774"/>
      <c r="O765" s="774"/>
      <c r="P765" s="774"/>
      <c r="Q765" s="774"/>
      <c r="R765" s="774"/>
      <c r="S765" s="774"/>
    </row>
    <row r="766" spans="14:19" ht="29.1" customHeight="1">
      <c r="N766" s="774"/>
      <c r="O766" s="774"/>
      <c r="P766" s="774"/>
      <c r="Q766" s="774"/>
      <c r="R766" s="774"/>
      <c r="S766" s="774"/>
    </row>
    <row r="767" spans="14:19" ht="29.1" customHeight="1">
      <c r="N767" s="774"/>
      <c r="O767" s="774"/>
      <c r="P767" s="774"/>
      <c r="Q767" s="774"/>
      <c r="R767" s="774"/>
      <c r="S767" s="774"/>
    </row>
    <row r="768" spans="14:19" ht="29.1" customHeight="1">
      <c r="N768" s="774"/>
      <c r="O768" s="774"/>
      <c r="P768" s="774"/>
      <c r="Q768" s="774"/>
      <c r="R768" s="774"/>
      <c r="S768" s="774"/>
    </row>
    <row r="769" spans="14:19" ht="29.1" customHeight="1">
      <c r="N769" s="774"/>
      <c r="O769" s="774"/>
      <c r="P769" s="774"/>
      <c r="Q769" s="774"/>
      <c r="R769" s="774"/>
      <c r="S769" s="774"/>
    </row>
    <row r="770" spans="14:19" ht="29.1" customHeight="1">
      <c r="N770" s="774"/>
      <c r="O770" s="774"/>
      <c r="P770" s="774"/>
      <c r="Q770" s="774"/>
      <c r="R770" s="774"/>
      <c r="S770" s="774"/>
    </row>
    <row r="771" spans="14:19" ht="29.1" customHeight="1">
      <c r="N771" s="774"/>
      <c r="O771" s="774"/>
      <c r="P771" s="774"/>
      <c r="Q771" s="774"/>
      <c r="R771" s="774"/>
      <c r="S771" s="774"/>
    </row>
    <row r="772" spans="14:19" ht="29.1" customHeight="1">
      <c r="N772" s="774"/>
      <c r="O772" s="774"/>
      <c r="P772" s="774"/>
      <c r="Q772" s="774"/>
      <c r="R772" s="774"/>
      <c r="S772" s="774"/>
    </row>
    <row r="773" spans="14:19" ht="29.1" customHeight="1">
      <c r="N773" s="774"/>
      <c r="O773" s="774"/>
      <c r="P773" s="774"/>
      <c r="Q773" s="774"/>
      <c r="R773" s="774"/>
      <c r="S773" s="774"/>
    </row>
    <row r="774" spans="14:19" ht="29.1" customHeight="1">
      <c r="N774" s="774"/>
      <c r="O774" s="774"/>
      <c r="P774" s="774"/>
      <c r="Q774" s="774"/>
      <c r="R774" s="774"/>
      <c r="S774" s="774"/>
    </row>
    <row r="775" spans="14:19" ht="29.1" customHeight="1">
      <c r="N775" s="774"/>
      <c r="O775" s="774"/>
      <c r="P775" s="774"/>
      <c r="Q775" s="774"/>
      <c r="R775" s="774"/>
      <c r="S775" s="774"/>
    </row>
    <row r="776" spans="14:19" ht="29.1" customHeight="1">
      <c r="N776" s="774"/>
      <c r="O776" s="774"/>
      <c r="P776" s="774"/>
      <c r="Q776" s="774"/>
      <c r="R776" s="774"/>
      <c r="S776" s="774"/>
    </row>
    <row r="777" spans="14:19" ht="29.1" customHeight="1">
      <c r="N777" s="774"/>
      <c r="O777" s="774"/>
      <c r="P777" s="774"/>
      <c r="Q777" s="774"/>
      <c r="R777" s="774"/>
      <c r="S777" s="774"/>
    </row>
    <row r="778" spans="14:19" ht="29.1" customHeight="1">
      <c r="N778" s="774"/>
      <c r="O778" s="774"/>
      <c r="P778" s="774"/>
      <c r="Q778" s="774"/>
      <c r="R778" s="774"/>
      <c r="S778" s="774"/>
    </row>
    <row r="779" spans="14:19" ht="29.1" customHeight="1">
      <c r="N779" s="774"/>
      <c r="O779" s="774"/>
      <c r="P779" s="774"/>
      <c r="Q779" s="774"/>
      <c r="R779" s="774"/>
      <c r="S779" s="774"/>
    </row>
    <row r="780" spans="14:19" ht="29.1" customHeight="1">
      <c r="N780" s="774"/>
      <c r="O780" s="774"/>
      <c r="P780" s="774"/>
      <c r="Q780" s="774"/>
      <c r="R780" s="774"/>
      <c r="S780" s="774"/>
    </row>
    <row r="781" spans="14:19" ht="29.1" customHeight="1">
      <c r="N781" s="774"/>
      <c r="O781" s="774"/>
      <c r="P781" s="774"/>
      <c r="Q781" s="774"/>
      <c r="R781" s="774"/>
      <c r="S781" s="774"/>
    </row>
    <row r="782" spans="14:19" ht="29.1" customHeight="1">
      <c r="N782" s="774"/>
      <c r="O782" s="774"/>
      <c r="P782" s="774"/>
      <c r="Q782" s="774"/>
      <c r="R782" s="774"/>
      <c r="S782" s="774"/>
    </row>
    <row r="783" spans="14:19" ht="29.1" customHeight="1">
      <c r="N783" s="774"/>
      <c r="O783" s="774"/>
      <c r="P783" s="774"/>
      <c r="Q783" s="774"/>
      <c r="R783" s="774"/>
      <c r="S783" s="774"/>
    </row>
    <row r="784" spans="14:19" ht="29.1" customHeight="1">
      <c r="N784" s="774"/>
      <c r="O784" s="774"/>
      <c r="P784" s="774"/>
      <c r="Q784" s="774"/>
      <c r="R784" s="774"/>
      <c r="S784" s="774"/>
    </row>
    <row r="785" spans="14:19" ht="29.1" customHeight="1">
      <c r="N785" s="774"/>
      <c r="O785" s="774"/>
      <c r="P785" s="774"/>
      <c r="Q785" s="774"/>
      <c r="R785" s="774"/>
      <c r="S785" s="774"/>
    </row>
    <row r="786" spans="14:19" ht="29.1" customHeight="1">
      <c r="N786" s="774"/>
      <c r="O786" s="774"/>
      <c r="P786" s="774"/>
      <c r="Q786" s="774"/>
      <c r="R786" s="774"/>
      <c r="S786" s="774"/>
    </row>
    <row r="787" spans="14:19" ht="29.1" customHeight="1">
      <c r="N787" s="774"/>
      <c r="O787" s="774"/>
      <c r="P787" s="774"/>
      <c r="Q787" s="774"/>
      <c r="R787" s="774"/>
      <c r="S787" s="774"/>
    </row>
    <row r="788" spans="14:19" ht="29.1" customHeight="1">
      <c r="N788" s="774"/>
      <c r="O788" s="774"/>
      <c r="P788" s="774"/>
      <c r="Q788" s="774"/>
      <c r="R788" s="774"/>
      <c r="S788" s="774"/>
    </row>
    <row r="789" spans="14:19" ht="29.1" customHeight="1">
      <c r="N789" s="774"/>
      <c r="O789" s="774"/>
      <c r="P789" s="774"/>
      <c r="Q789" s="774"/>
      <c r="R789" s="774"/>
      <c r="S789" s="774"/>
    </row>
    <row r="790" spans="14:19" ht="29.1" customHeight="1">
      <c r="N790" s="774"/>
      <c r="O790" s="774"/>
      <c r="P790" s="774"/>
      <c r="Q790" s="774"/>
      <c r="R790" s="774"/>
      <c r="S790" s="774"/>
    </row>
    <row r="791" spans="14:19" ht="29.1" customHeight="1">
      <c r="N791" s="774"/>
      <c r="O791" s="774"/>
      <c r="P791" s="774"/>
      <c r="Q791" s="774"/>
      <c r="R791" s="774"/>
      <c r="S791" s="774"/>
    </row>
    <row r="792" spans="14:19" ht="29.1" customHeight="1">
      <c r="N792" s="774"/>
      <c r="O792" s="774"/>
      <c r="P792" s="774"/>
      <c r="Q792" s="774"/>
      <c r="R792" s="774"/>
      <c r="S792" s="774"/>
    </row>
    <row r="793" spans="14:19" ht="29.1" customHeight="1">
      <c r="N793" s="774"/>
      <c r="O793" s="774"/>
      <c r="P793" s="774"/>
      <c r="Q793" s="774"/>
      <c r="R793" s="774"/>
      <c r="S793" s="774"/>
    </row>
    <row r="794" spans="14:19" ht="29.1" customHeight="1">
      <c r="N794" s="774"/>
      <c r="O794" s="774"/>
      <c r="P794" s="774"/>
      <c r="Q794" s="774"/>
      <c r="R794" s="774"/>
      <c r="S794" s="774"/>
    </row>
    <row r="795" spans="14:19" ht="29.1" customHeight="1">
      <c r="N795" s="774"/>
      <c r="O795" s="774"/>
      <c r="P795" s="774"/>
      <c r="Q795" s="774"/>
      <c r="R795" s="774"/>
      <c r="S795" s="774"/>
    </row>
    <row r="796" spans="14:19" ht="29.1" customHeight="1">
      <c r="N796" s="774"/>
      <c r="O796" s="774"/>
      <c r="P796" s="774"/>
      <c r="Q796" s="774"/>
      <c r="R796" s="774"/>
      <c r="S796" s="774"/>
    </row>
    <row r="797" spans="14:19" ht="29.1" customHeight="1">
      <c r="N797" s="774"/>
      <c r="O797" s="774"/>
      <c r="P797" s="774"/>
      <c r="Q797" s="774"/>
      <c r="R797" s="774"/>
      <c r="S797" s="774"/>
    </row>
    <row r="798" spans="14:19" ht="29.1" customHeight="1">
      <c r="N798" s="774"/>
      <c r="O798" s="774"/>
      <c r="P798" s="774"/>
      <c r="Q798" s="774"/>
      <c r="R798" s="774"/>
      <c r="S798" s="774"/>
    </row>
    <row r="799" spans="14:19" ht="29.1" customHeight="1">
      <c r="N799" s="774"/>
      <c r="O799" s="774"/>
      <c r="P799" s="774"/>
      <c r="Q799" s="774"/>
      <c r="R799" s="774"/>
      <c r="S799" s="774"/>
    </row>
    <row r="800" spans="14:19" ht="29.1" customHeight="1">
      <c r="N800" s="774"/>
      <c r="O800" s="774"/>
      <c r="P800" s="774"/>
      <c r="Q800" s="774"/>
      <c r="R800" s="774"/>
      <c r="S800" s="774"/>
    </row>
    <row r="801" spans="14:19" ht="29.1" customHeight="1">
      <c r="N801" s="774"/>
      <c r="O801" s="774"/>
      <c r="P801" s="774"/>
      <c r="Q801" s="774"/>
      <c r="R801" s="774"/>
      <c r="S801" s="774"/>
    </row>
    <row r="802" spans="14:19" ht="29.1" customHeight="1">
      <c r="N802" s="774"/>
      <c r="O802" s="774"/>
      <c r="P802" s="774"/>
      <c r="Q802" s="774"/>
      <c r="R802" s="774"/>
      <c r="S802" s="774"/>
    </row>
    <row r="803" spans="14:19" ht="29.1" customHeight="1">
      <c r="N803" s="774"/>
      <c r="O803" s="774"/>
      <c r="P803" s="774"/>
      <c r="Q803" s="774"/>
      <c r="R803" s="774"/>
      <c r="S803" s="774"/>
    </row>
    <row r="804" spans="14:19" ht="29.1" customHeight="1">
      <c r="N804" s="774"/>
      <c r="O804" s="774"/>
      <c r="P804" s="774"/>
      <c r="Q804" s="774"/>
      <c r="R804" s="774"/>
      <c r="S804" s="774"/>
    </row>
    <row r="805" spans="14:19" ht="29.1" customHeight="1">
      <c r="N805" s="774"/>
      <c r="O805" s="774"/>
      <c r="P805" s="774"/>
      <c r="Q805" s="774"/>
      <c r="R805" s="774"/>
      <c r="S805" s="774"/>
    </row>
    <row r="806" spans="14:19" ht="29.1" customHeight="1">
      <c r="N806" s="774"/>
      <c r="O806" s="774"/>
      <c r="P806" s="774"/>
      <c r="Q806" s="774"/>
      <c r="R806" s="774"/>
      <c r="S806" s="774"/>
    </row>
    <row r="807" spans="14:19" ht="29.1" customHeight="1">
      <c r="N807" s="774"/>
      <c r="O807" s="774"/>
      <c r="P807" s="774"/>
      <c r="Q807" s="774"/>
      <c r="R807" s="774"/>
      <c r="S807" s="774"/>
    </row>
    <row r="808" spans="14:19" ht="29.1" customHeight="1">
      <c r="N808" s="774"/>
      <c r="O808" s="774"/>
      <c r="P808" s="774"/>
      <c r="Q808" s="774"/>
      <c r="R808" s="774"/>
      <c r="S808" s="774"/>
    </row>
    <row r="809" spans="14:19" ht="29.1" customHeight="1">
      <c r="N809" s="774"/>
      <c r="O809" s="774"/>
      <c r="P809" s="774"/>
      <c r="Q809" s="774"/>
      <c r="R809" s="774"/>
      <c r="S809" s="774"/>
    </row>
    <row r="810" spans="14:19" ht="29.1" customHeight="1">
      <c r="N810" s="774"/>
      <c r="O810" s="774"/>
      <c r="P810" s="774"/>
      <c r="Q810" s="774"/>
      <c r="R810" s="774"/>
      <c r="S810" s="774"/>
    </row>
    <row r="811" spans="14:19" ht="29.1" customHeight="1">
      <c r="N811" s="774"/>
      <c r="O811" s="774"/>
      <c r="P811" s="774"/>
      <c r="Q811" s="774"/>
      <c r="R811" s="774"/>
      <c r="S811" s="774"/>
    </row>
    <row r="812" spans="14:19" ht="29.1" customHeight="1">
      <c r="N812" s="774"/>
      <c r="O812" s="774"/>
      <c r="P812" s="774"/>
      <c r="Q812" s="774"/>
      <c r="R812" s="774"/>
      <c r="S812" s="774"/>
    </row>
    <row r="813" spans="14:19" ht="29.1" customHeight="1">
      <c r="N813" s="774"/>
      <c r="O813" s="774"/>
      <c r="P813" s="774"/>
      <c r="Q813" s="774"/>
      <c r="R813" s="774"/>
      <c r="S813" s="774"/>
    </row>
    <row r="814" spans="14:19" ht="29.1" customHeight="1">
      <c r="N814" s="774"/>
      <c r="O814" s="774"/>
      <c r="P814" s="774"/>
      <c r="Q814" s="774"/>
      <c r="R814" s="774"/>
      <c r="S814" s="774"/>
    </row>
    <row r="815" spans="14:19" ht="29.1" customHeight="1">
      <c r="N815" s="774"/>
      <c r="O815" s="774"/>
      <c r="P815" s="774"/>
      <c r="Q815" s="774"/>
      <c r="R815" s="774"/>
      <c r="S815" s="774"/>
    </row>
    <row r="816" spans="14:19" ht="29.1" customHeight="1">
      <c r="N816" s="774"/>
      <c r="O816" s="774"/>
      <c r="P816" s="774"/>
      <c r="Q816" s="774"/>
      <c r="R816" s="774"/>
      <c r="S816" s="774"/>
    </row>
    <row r="817" spans="14:19" ht="29.1" customHeight="1">
      <c r="N817" s="774"/>
      <c r="O817" s="774"/>
      <c r="P817" s="774"/>
      <c r="Q817" s="774"/>
      <c r="R817" s="774"/>
      <c r="S817" s="774"/>
    </row>
    <row r="818" spans="14:19" ht="29.1" customHeight="1">
      <c r="N818" s="774"/>
      <c r="O818" s="774"/>
      <c r="P818" s="774"/>
      <c r="Q818" s="774"/>
      <c r="R818" s="774"/>
      <c r="S818" s="774"/>
    </row>
    <row r="819" spans="14:19" ht="29.1" customHeight="1">
      <c r="N819" s="774"/>
      <c r="O819" s="774"/>
      <c r="P819" s="774"/>
      <c r="Q819" s="774"/>
      <c r="R819" s="774"/>
      <c r="S819" s="774"/>
    </row>
    <row r="820" spans="14:19" ht="29.1" customHeight="1">
      <c r="N820" s="774"/>
      <c r="O820" s="774"/>
      <c r="P820" s="774"/>
      <c r="Q820" s="774"/>
      <c r="R820" s="774"/>
      <c r="S820" s="774"/>
    </row>
    <row r="821" spans="14:19" ht="29.1" customHeight="1">
      <c r="N821" s="774"/>
      <c r="O821" s="774"/>
      <c r="P821" s="774"/>
      <c r="Q821" s="774"/>
      <c r="R821" s="774"/>
      <c r="S821" s="774"/>
    </row>
    <row r="822" spans="14:19" ht="29.1" customHeight="1">
      <c r="N822" s="774"/>
      <c r="O822" s="774"/>
      <c r="P822" s="774"/>
      <c r="Q822" s="774"/>
      <c r="R822" s="774"/>
      <c r="S822" s="774"/>
    </row>
    <row r="823" spans="14:19" ht="29.1" customHeight="1">
      <c r="N823" s="774"/>
      <c r="O823" s="774"/>
      <c r="P823" s="774"/>
      <c r="Q823" s="774"/>
      <c r="R823" s="774"/>
      <c r="S823" s="774"/>
    </row>
    <row r="824" spans="14:19" ht="29.1" customHeight="1">
      <c r="N824" s="774"/>
      <c r="O824" s="774"/>
      <c r="P824" s="774"/>
      <c r="Q824" s="774"/>
      <c r="R824" s="774"/>
      <c r="S824" s="774"/>
    </row>
    <row r="825" spans="14:19" ht="29.1" customHeight="1">
      <c r="N825" s="774"/>
      <c r="O825" s="774"/>
      <c r="P825" s="774"/>
      <c r="Q825" s="774"/>
      <c r="R825" s="774"/>
      <c r="S825" s="774"/>
    </row>
    <row r="826" spans="14:19" ht="29.1" customHeight="1">
      <c r="N826" s="774"/>
      <c r="O826" s="774"/>
      <c r="P826" s="774"/>
      <c r="Q826" s="774"/>
      <c r="R826" s="774"/>
      <c r="S826" s="774"/>
    </row>
    <row r="827" spans="14:19" ht="29.1" customHeight="1">
      <c r="N827" s="774"/>
      <c r="O827" s="774"/>
      <c r="P827" s="774"/>
      <c r="Q827" s="774"/>
      <c r="R827" s="774"/>
      <c r="S827" s="774"/>
    </row>
    <row r="828" spans="14:19" ht="29.1" customHeight="1">
      <c r="N828" s="774"/>
      <c r="O828" s="774"/>
      <c r="P828" s="774"/>
      <c r="Q828" s="774"/>
      <c r="R828" s="774"/>
      <c r="S828" s="774"/>
    </row>
    <row r="829" spans="14:19" ht="29.1" customHeight="1">
      <c r="N829" s="774"/>
      <c r="O829" s="774"/>
      <c r="P829" s="774"/>
      <c r="Q829" s="774"/>
      <c r="R829" s="774"/>
      <c r="S829" s="774"/>
    </row>
    <row r="830" spans="14:19" ht="29.1" customHeight="1">
      <c r="N830" s="774"/>
      <c r="O830" s="774"/>
      <c r="P830" s="774"/>
      <c r="Q830" s="774"/>
      <c r="R830" s="774"/>
      <c r="S830" s="774"/>
    </row>
    <row r="831" spans="14:19" ht="29.1" customHeight="1">
      <c r="N831" s="774"/>
      <c r="O831" s="774"/>
      <c r="P831" s="774"/>
      <c r="Q831" s="774"/>
      <c r="R831" s="774"/>
      <c r="S831" s="774"/>
    </row>
    <row r="832" spans="14:19" ht="29.1" customHeight="1">
      <c r="N832" s="774"/>
      <c r="O832" s="774"/>
      <c r="P832" s="774"/>
      <c r="Q832" s="774"/>
      <c r="R832" s="774"/>
      <c r="S832" s="774"/>
    </row>
    <row r="833" spans="14:19" ht="29.1" customHeight="1">
      <c r="N833" s="774"/>
      <c r="O833" s="774"/>
      <c r="P833" s="774"/>
      <c r="Q833" s="774"/>
      <c r="R833" s="774"/>
      <c r="S833" s="774"/>
    </row>
    <row r="834" spans="14:19" ht="29.1" customHeight="1">
      <c r="N834" s="774"/>
      <c r="O834" s="774"/>
      <c r="P834" s="774"/>
      <c r="Q834" s="774"/>
      <c r="R834" s="774"/>
      <c r="S834" s="774"/>
    </row>
    <row r="835" spans="14:19" ht="29.1" customHeight="1">
      <c r="N835" s="774"/>
      <c r="O835" s="774"/>
      <c r="P835" s="774"/>
      <c r="Q835" s="774"/>
      <c r="R835" s="774"/>
      <c r="S835" s="774"/>
    </row>
    <row r="836" spans="14:19" ht="29.1" customHeight="1">
      <c r="N836" s="774"/>
      <c r="O836" s="774"/>
      <c r="P836" s="774"/>
      <c r="Q836" s="774"/>
      <c r="R836" s="774"/>
      <c r="S836" s="774"/>
    </row>
    <row r="837" spans="14:19" ht="29.1" customHeight="1">
      <c r="N837" s="774"/>
      <c r="O837" s="774"/>
      <c r="P837" s="774"/>
      <c r="Q837" s="774"/>
      <c r="R837" s="774"/>
      <c r="S837" s="774"/>
    </row>
    <row r="838" spans="14:19" ht="29.1" customHeight="1">
      <c r="N838" s="774"/>
      <c r="O838" s="774"/>
      <c r="P838" s="774"/>
      <c r="Q838" s="774"/>
      <c r="R838" s="774"/>
      <c r="S838" s="774"/>
    </row>
    <row r="839" spans="14:19" ht="29.1" customHeight="1">
      <c r="N839" s="774"/>
      <c r="O839" s="774"/>
      <c r="P839" s="774"/>
      <c r="Q839" s="774"/>
      <c r="R839" s="774"/>
      <c r="S839" s="774"/>
    </row>
    <row r="840" spans="14:19" ht="29.1" customHeight="1">
      <c r="N840" s="774"/>
      <c r="O840" s="774"/>
      <c r="P840" s="774"/>
      <c r="Q840" s="774"/>
      <c r="R840" s="774"/>
      <c r="S840" s="774"/>
    </row>
    <row r="841" spans="14:19" ht="29.1" customHeight="1">
      <c r="N841" s="774"/>
      <c r="O841" s="774"/>
      <c r="P841" s="774"/>
      <c r="Q841" s="774"/>
      <c r="R841" s="774"/>
      <c r="S841" s="774"/>
    </row>
    <row r="842" spans="14:19" ht="29.1" customHeight="1">
      <c r="N842" s="774"/>
      <c r="O842" s="774"/>
      <c r="P842" s="774"/>
      <c r="Q842" s="774"/>
      <c r="R842" s="774"/>
      <c r="S842" s="774"/>
    </row>
    <row r="843" spans="14:19" ht="29.1" customHeight="1">
      <c r="N843" s="774"/>
      <c r="O843" s="774"/>
      <c r="P843" s="774"/>
      <c r="Q843" s="774"/>
      <c r="R843" s="774"/>
      <c r="S843" s="774"/>
    </row>
    <row r="844" spans="14:19" ht="29.1" customHeight="1">
      <c r="N844" s="774"/>
      <c r="O844" s="774"/>
      <c r="P844" s="774"/>
      <c r="Q844" s="774"/>
      <c r="R844" s="774"/>
      <c r="S844" s="774"/>
    </row>
    <row r="845" spans="14:19" ht="29.1" customHeight="1">
      <c r="N845" s="774"/>
      <c r="O845" s="774"/>
      <c r="P845" s="774"/>
      <c r="Q845" s="774"/>
      <c r="R845" s="774"/>
      <c r="S845" s="774"/>
    </row>
    <row r="846" spans="14:19" ht="29.1" customHeight="1">
      <c r="N846" s="774"/>
      <c r="O846" s="774"/>
      <c r="P846" s="774"/>
      <c r="Q846" s="774"/>
      <c r="R846" s="774"/>
      <c r="S846" s="774"/>
    </row>
    <row r="847" spans="14:19" ht="29.1" customHeight="1">
      <c r="N847" s="774"/>
      <c r="O847" s="774"/>
      <c r="P847" s="774"/>
      <c r="Q847" s="774"/>
      <c r="R847" s="774"/>
      <c r="S847" s="774"/>
    </row>
    <row r="848" spans="14:19" ht="29.1" customHeight="1">
      <c r="N848" s="774"/>
      <c r="O848" s="774"/>
      <c r="P848" s="774"/>
      <c r="Q848" s="774"/>
      <c r="R848" s="774"/>
      <c r="S848" s="774"/>
    </row>
    <row r="849" spans="14:19" ht="29.1" customHeight="1">
      <c r="N849" s="774"/>
      <c r="O849" s="774"/>
      <c r="P849" s="774"/>
      <c r="Q849" s="774"/>
      <c r="R849" s="774"/>
      <c r="S849" s="774"/>
    </row>
    <row r="850" spans="14:19" ht="29.1" customHeight="1">
      <c r="N850" s="774"/>
      <c r="O850" s="774"/>
      <c r="P850" s="774"/>
      <c r="Q850" s="774"/>
      <c r="R850" s="774"/>
      <c r="S850" s="774"/>
    </row>
    <row r="851" spans="14:19" ht="29.1" customHeight="1">
      <c r="N851" s="774"/>
      <c r="O851" s="774"/>
      <c r="P851" s="774"/>
      <c r="Q851" s="774"/>
      <c r="R851" s="774"/>
      <c r="S851" s="774"/>
    </row>
    <row r="852" spans="14:19" ht="29.1" customHeight="1">
      <c r="N852" s="774"/>
      <c r="O852" s="774"/>
      <c r="P852" s="774"/>
      <c r="Q852" s="774"/>
      <c r="R852" s="774"/>
      <c r="S852" s="774"/>
    </row>
    <row r="853" spans="14:19" ht="29.1" customHeight="1">
      <c r="N853" s="774"/>
      <c r="O853" s="774"/>
      <c r="P853" s="774"/>
      <c r="Q853" s="774"/>
      <c r="R853" s="774"/>
      <c r="S853" s="774"/>
    </row>
    <row r="854" spans="14:19" ht="29.1" customHeight="1">
      <c r="N854" s="774"/>
      <c r="O854" s="774"/>
      <c r="P854" s="774"/>
      <c r="Q854" s="774"/>
      <c r="R854" s="774"/>
      <c r="S854" s="774"/>
    </row>
    <row r="855" spans="14:19" ht="29.1" customHeight="1">
      <c r="N855" s="774"/>
      <c r="O855" s="774"/>
      <c r="P855" s="774"/>
      <c r="Q855" s="774"/>
      <c r="R855" s="774"/>
      <c r="S855" s="774"/>
    </row>
    <row r="856" spans="14:19" ht="29.1" customHeight="1">
      <c r="N856" s="774"/>
      <c r="O856" s="774"/>
      <c r="P856" s="774"/>
      <c r="Q856" s="774"/>
      <c r="R856" s="774"/>
      <c r="S856" s="774"/>
    </row>
    <row r="857" spans="14:19" ht="29.1" customHeight="1">
      <c r="N857" s="774"/>
      <c r="O857" s="774"/>
      <c r="P857" s="774"/>
      <c r="Q857" s="774"/>
      <c r="R857" s="774"/>
      <c r="S857" s="774"/>
    </row>
    <row r="858" spans="14:19" ht="29.1" customHeight="1">
      <c r="N858" s="774"/>
      <c r="O858" s="774"/>
      <c r="P858" s="774"/>
      <c r="Q858" s="774"/>
      <c r="R858" s="774"/>
      <c r="S858" s="774"/>
    </row>
    <row r="859" spans="14:19" ht="29.1" customHeight="1">
      <c r="N859" s="774"/>
      <c r="O859" s="774"/>
      <c r="P859" s="774"/>
      <c r="Q859" s="774"/>
      <c r="R859" s="774"/>
      <c r="S859" s="774"/>
    </row>
    <row r="860" spans="14:19" ht="29.1" customHeight="1">
      <c r="N860" s="774"/>
      <c r="O860" s="774"/>
      <c r="P860" s="774"/>
      <c r="Q860" s="774"/>
      <c r="R860" s="774"/>
      <c r="S860" s="774"/>
    </row>
    <row r="861" spans="14:19" ht="29.1" customHeight="1">
      <c r="N861" s="774"/>
      <c r="O861" s="774"/>
      <c r="P861" s="774"/>
      <c r="Q861" s="774"/>
      <c r="R861" s="774"/>
      <c r="S861" s="774"/>
    </row>
    <row r="862" spans="14:19" ht="29.1" customHeight="1">
      <c r="N862" s="774"/>
      <c r="O862" s="774"/>
      <c r="P862" s="774"/>
      <c r="Q862" s="774"/>
      <c r="R862" s="774"/>
      <c r="S862" s="774"/>
    </row>
    <row r="863" spans="14:19" ht="29.1" customHeight="1">
      <c r="N863" s="774"/>
      <c r="O863" s="774"/>
      <c r="P863" s="774"/>
      <c r="Q863" s="774"/>
      <c r="R863" s="774"/>
      <c r="S863" s="774"/>
    </row>
    <row r="864" spans="14:19" ht="29.1" customHeight="1">
      <c r="N864" s="774"/>
      <c r="O864" s="774"/>
      <c r="P864" s="774"/>
      <c r="Q864" s="774"/>
      <c r="R864" s="774"/>
      <c r="S864" s="774"/>
    </row>
    <row r="865" spans="14:19" ht="29.1" customHeight="1">
      <c r="N865" s="774"/>
      <c r="O865" s="774"/>
      <c r="P865" s="774"/>
      <c r="Q865" s="774"/>
      <c r="R865" s="774"/>
      <c r="S865" s="774"/>
    </row>
    <row r="866" spans="14:19" ht="29.1" customHeight="1">
      <c r="N866" s="774"/>
      <c r="O866" s="774"/>
      <c r="P866" s="774"/>
      <c r="Q866" s="774"/>
      <c r="R866" s="774"/>
      <c r="S866" s="774"/>
    </row>
    <row r="867" spans="14:19" ht="29.1" customHeight="1">
      <c r="N867" s="774"/>
      <c r="O867" s="774"/>
      <c r="P867" s="774"/>
      <c r="Q867" s="774"/>
      <c r="R867" s="774"/>
      <c r="S867" s="774"/>
    </row>
    <row r="868" spans="14:19" ht="29.1" customHeight="1">
      <c r="N868" s="774"/>
      <c r="O868" s="774"/>
      <c r="P868" s="774"/>
      <c r="Q868" s="774"/>
      <c r="R868" s="774"/>
      <c r="S868" s="774"/>
    </row>
    <row r="869" spans="14:19" ht="29.1" customHeight="1">
      <c r="N869" s="774"/>
      <c r="O869" s="774"/>
      <c r="P869" s="774"/>
      <c r="Q869" s="774"/>
      <c r="R869" s="774"/>
      <c r="S869" s="774"/>
    </row>
    <row r="870" spans="14:19" ht="29.1" customHeight="1">
      <c r="N870" s="774"/>
      <c r="O870" s="774"/>
      <c r="P870" s="774"/>
      <c r="Q870" s="774"/>
      <c r="R870" s="774"/>
      <c r="S870" s="774"/>
    </row>
    <row r="871" spans="14:19" ht="29.1" customHeight="1">
      <c r="N871" s="774"/>
      <c r="O871" s="774"/>
      <c r="P871" s="774"/>
      <c r="Q871" s="774"/>
      <c r="R871" s="774"/>
      <c r="S871" s="774"/>
    </row>
    <row r="872" spans="14:19" ht="29.1" customHeight="1">
      <c r="N872" s="774"/>
      <c r="O872" s="774"/>
      <c r="P872" s="774"/>
      <c r="Q872" s="774"/>
      <c r="R872" s="774"/>
      <c r="S872" s="774"/>
    </row>
    <row r="873" spans="14:19" ht="29.1" customHeight="1">
      <c r="N873" s="774"/>
      <c r="O873" s="774"/>
      <c r="P873" s="774"/>
      <c r="Q873" s="774"/>
      <c r="R873" s="774"/>
      <c r="S873" s="774"/>
    </row>
    <row r="874" spans="14:19" ht="29.1" customHeight="1">
      <c r="N874" s="774"/>
      <c r="O874" s="774"/>
      <c r="P874" s="774"/>
      <c r="Q874" s="774"/>
      <c r="R874" s="774"/>
      <c r="S874" s="774"/>
    </row>
    <row r="875" spans="14:19" ht="29.1" customHeight="1">
      <c r="N875" s="774"/>
      <c r="O875" s="774"/>
      <c r="P875" s="774"/>
      <c r="Q875" s="774"/>
      <c r="R875" s="774"/>
      <c r="S875" s="774"/>
    </row>
    <row r="876" spans="14:19" ht="29.1" customHeight="1">
      <c r="N876" s="774"/>
      <c r="O876" s="774"/>
      <c r="P876" s="774"/>
      <c r="Q876" s="774"/>
      <c r="R876" s="774"/>
      <c r="S876" s="774"/>
    </row>
    <row r="877" spans="14:19" ht="29.1" customHeight="1">
      <c r="N877" s="774"/>
      <c r="O877" s="774"/>
      <c r="P877" s="774"/>
      <c r="Q877" s="774"/>
      <c r="R877" s="774"/>
      <c r="S877" s="774"/>
    </row>
    <row r="878" spans="14:19" ht="29.1" customHeight="1">
      <c r="N878" s="774"/>
      <c r="O878" s="774"/>
      <c r="P878" s="774"/>
      <c r="Q878" s="774"/>
      <c r="R878" s="774"/>
      <c r="S878" s="774"/>
    </row>
    <row r="879" spans="14:19" ht="29.1" customHeight="1">
      <c r="N879" s="774"/>
      <c r="O879" s="774"/>
      <c r="P879" s="774"/>
      <c r="Q879" s="774"/>
      <c r="R879" s="774"/>
      <c r="S879" s="774"/>
    </row>
    <row r="880" spans="14:19" ht="29.1" customHeight="1">
      <c r="N880" s="774"/>
      <c r="O880" s="774"/>
      <c r="P880" s="774"/>
      <c r="Q880" s="774"/>
      <c r="R880" s="774"/>
      <c r="S880" s="774"/>
    </row>
    <row r="881" spans="14:19" ht="29.1" customHeight="1">
      <c r="N881" s="774"/>
      <c r="O881" s="774"/>
      <c r="P881" s="774"/>
      <c r="Q881" s="774"/>
      <c r="R881" s="774"/>
      <c r="S881" s="774"/>
    </row>
    <row r="882" spans="14:19" ht="29.1" customHeight="1">
      <c r="N882" s="774"/>
      <c r="O882" s="774"/>
      <c r="P882" s="774"/>
      <c r="Q882" s="774"/>
      <c r="R882" s="774"/>
      <c r="S882" s="774"/>
    </row>
    <row r="883" spans="14:19" ht="29.1" customHeight="1">
      <c r="N883" s="774"/>
      <c r="O883" s="774"/>
      <c r="P883" s="774"/>
      <c r="Q883" s="774"/>
      <c r="R883" s="774"/>
      <c r="S883" s="774"/>
    </row>
    <row r="884" spans="14:19" ht="29.1" customHeight="1">
      <c r="N884" s="774"/>
      <c r="O884" s="774"/>
      <c r="P884" s="774"/>
      <c r="Q884" s="774"/>
      <c r="R884" s="774"/>
      <c r="S884" s="774"/>
    </row>
    <row r="885" spans="14:19" ht="29.1" customHeight="1">
      <c r="N885" s="774"/>
      <c r="O885" s="774"/>
      <c r="P885" s="774"/>
      <c r="Q885" s="774"/>
      <c r="R885" s="774"/>
      <c r="S885" s="774"/>
    </row>
    <row r="886" spans="14:19" ht="29.1" customHeight="1">
      <c r="N886" s="774"/>
      <c r="O886" s="774"/>
      <c r="P886" s="774"/>
      <c r="Q886" s="774"/>
      <c r="R886" s="774"/>
      <c r="S886" s="774"/>
    </row>
    <row r="887" spans="14:19" ht="29.1" customHeight="1">
      <c r="N887" s="774"/>
      <c r="O887" s="774"/>
      <c r="P887" s="774"/>
      <c r="Q887" s="774"/>
      <c r="R887" s="774"/>
      <c r="S887" s="774"/>
    </row>
    <row r="888" spans="14:19" ht="29.1" customHeight="1">
      <c r="N888" s="774"/>
      <c r="O888" s="774"/>
      <c r="P888" s="774"/>
      <c r="Q888" s="774"/>
      <c r="R888" s="774"/>
      <c r="S888" s="774"/>
    </row>
    <row r="889" spans="14:19" ht="29.1" customHeight="1">
      <c r="N889" s="774"/>
      <c r="O889" s="774"/>
      <c r="P889" s="774"/>
      <c r="Q889" s="774"/>
      <c r="R889" s="774"/>
      <c r="S889" s="774"/>
    </row>
    <row r="890" spans="14:19" ht="29.1" customHeight="1">
      <c r="N890" s="774"/>
      <c r="O890" s="774"/>
      <c r="P890" s="774"/>
      <c r="Q890" s="774"/>
      <c r="R890" s="774"/>
      <c r="S890" s="774"/>
    </row>
    <row r="891" spans="14:19" ht="29.1" customHeight="1">
      <c r="N891" s="774"/>
      <c r="O891" s="774"/>
      <c r="P891" s="774"/>
      <c r="Q891" s="774"/>
      <c r="R891" s="774"/>
      <c r="S891" s="774"/>
    </row>
    <row r="892" spans="14:19" ht="29.1" customHeight="1">
      <c r="N892" s="774"/>
      <c r="O892" s="774"/>
      <c r="P892" s="774"/>
      <c r="Q892" s="774"/>
      <c r="R892" s="774"/>
      <c r="S892" s="774"/>
    </row>
    <row r="893" spans="14:19" ht="29.1" customHeight="1">
      <c r="N893" s="774"/>
      <c r="O893" s="774"/>
      <c r="P893" s="774"/>
      <c r="Q893" s="774"/>
      <c r="R893" s="774"/>
      <c r="S893" s="774"/>
    </row>
    <row r="894" spans="14:19" ht="29.1" customHeight="1">
      <c r="N894" s="774"/>
      <c r="O894" s="774"/>
      <c r="P894" s="774"/>
      <c r="Q894" s="774"/>
      <c r="R894" s="774"/>
      <c r="S894" s="774"/>
    </row>
    <row r="895" spans="14:19" ht="29.1" customHeight="1">
      <c r="N895" s="774"/>
      <c r="O895" s="774"/>
      <c r="P895" s="774"/>
      <c r="Q895" s="774"/>
      <c r="R895" s="774"/>
      <c r="S895" s="774"/>
    </row>
    <row r="896" spans="14:19" ht="29.1" customHeight="1">
      <c r="N896" s="774"/>
      <c r="O896" s="774"/>
      <c r="P896" s="774"/>
      <c r="Q896" s="774"/>
      <c r="R896" s="774"/>
      <c r="S896" s="774"/>
    </row>
    <row r="897" spans="14:19" ht="29.1" customHeight="1">
      <c r="N897" s="774"/>
      <c r="O897" s="774"/>
      <c r="P897" s="774"/>
      <c r="Q897" s="774"/>
      <c r="R897" s="774"/>
      <c r="S897" s="774"/>
    </row>
    <row r="898" spans="14:19" ht="29.1" customHeight="1">
      <c r="N898" s="774"/>
      <c r="O898" s="774"/>
      <c r="P898" s="774"/>
      <c r="Q898" s="774"/>
      <c r="R898" s="774"/>
      <c r="S898" s="774"/>
    </row>
    <row r="899" spans="14:19" ht="29.1" customHeight="1">
      <c r="N899" s="774"/>
      <c r="O899" s="774"/>
      <c r="P899" s="774"/>
      <c r="Q899" s="774"/>
      <c r="R899" s="774"/>
      <c r="S899" s="774"/>
    </row>
    <row r="900" spans="14:19" ht="29.1" customHeight="1">
      <c r="N900" s="774"/>
      <c r="O900" s="774"/>
      <c r="P900" s="774"/>
      <c r="Q900" s="774"/>
      <c r="R900" s="774"/>
      <c r="S900" s="774"/>
    </row>
    <row r="901" spans="14:19" ht="29.1" customHeight="1">
      <c r="N901" s="774"/>
      <c r="O901" s="774"/>
      <c r="P901" s="774"/>
      <c r="Q901" s="774"/>
      <c r="R901" s="774"/>
      <c r="S901" s="774"/>
    </row>
    <row r="902" spans="14:19" ht="29.1" customHeight="1">
      <c r="N902" s="774"/>
      <c r="O902" s="774"/>
      <c r="P902" s="774"/>
      <c r="Q902" s="774"/>
      <c r="R902" s="774"/>
      <c r="S902" s="774"/>
    </row>
    <row r="903" spans="14:19" ht="29.1" customHeight="1">
      <c r="N903" s="774"/>
      <c r="O903" s="774"/>
      <c r="P903" s="774"/>
      <c r="Q903" s="774"/>
      <c r="R903" s="774"/>
      <c r="S903" s="774"/>
    </row>
    <row r="904" spans="14:19" ht="29.1" customHeight="1">
      <c r="N904" s="774"/>
      <c r="O904" s="774"/>
      <c r="P904" s="774"/>
      <c r="Q904" s="774"/>
      <c r="R904" s="774"/>
      <c r="S904" s="774"/>
    </row>
    <row r="905" spans="14:19" ht="29.1" customHeight="1">
      <c r="N905" s="774"/>
      <c r="O905" s="774"/>
      <c r="P905" s="774"/>
      <c r="Q905" s="774"/>
      <c r="R905" s="774"/>
      <c r="S905" s="774"/>
    </row>
    <row r="906" spans="14:19" ht="29.1" customHeight="1">
      <c r="N906" s="774"/>
      <c r="O906" s="774"/>
      <c r="P906" s="774"/>
      <c r="Q906" s="774"/>
      <c r="R906" s="774"/>
      <c r="S906" s="774"/>
    </row>
    <row r="907" spans="14:19" ht="29.1" customHeight="1">
      <c r="N907" s="774"/>
      <c r="O907" s="774"/>
      <c r="P907" s="774"/>
      <c r="Q907" s="774"/>
      <c r="R907" s="774"/>
      <c r="S907" s="774"/>
    </row>
    <row r="908" spans="14:19" ht="29.1" customHeight="1">
      <c r="N908" s="774"/>
      <c r="O908" s="774"/>
      <c r="P908" s="774"/>
      <c r="Q908" s="774"/>
      <c r="R908" s="774"/>
      <c r="S908" s="774"/>
    </row>
    <row r="909" spans="14:19" ht="29.1" customHeight="1">
      <c r="N909" s="774"/>
      <c r="O909" s="774"/>
      <c r="P909" s="774"/>
      <c r="Q909" s="774"/>
      <c r="R909" s="774"/>
      <c r="S909" s="774"/>
    </row>
    <row r="910" spans="14:19" ht="29.1" customHeight="1">
      <c r="N910" s="774"/>
      <c r="O910" s="774"/>
      <c r="P910" s="774"/>
      <c r="Q910" s="774"/>
      <c r="R910" s="774"/>
      <c r="S910" s="774"/>
    </row>
    <row r="911" spans="14:19" ht="29.1" customHeight="1">
      <c r="N911" s="774"/>
      <c r="O911" s="774"/>
      <c r="P911" s="774"/>
      <c r="Q911" s="774"/>
      <c r="R911" s="774"/>
      <c r="S911" s="774"/>
    </row>
    <row r="912" spans="14:19" ht="29.1" customHeight="1">
      <c r="N912" s="774"/>
      <c r="O912" s="774"/>
      <c r="P912" s="774"/>
      <c r="Q912" s="774"/>
      <c r="R912" s="774"/>
      <c r="S912" s="774"/>
    </row>
    <row r="913" spans="14:19" ht="29.1" customHeight="1">
      <c r="N913" s="774"/>
      <c r="O913" s="774"/>
      <c r="P913" s="774"/>
      <c r="Q913" s="774"/>
      <c r="R913" s="774"/>
      <c r="S913" s="774"/>
    </row>
    <row r="914" spans="14:19" ht="29.1" customHeight="1">
      <c r="N914" s="774"/>
      <c r="O914" s="774"/>
      <c r="P914" s="774"/>
      <c r="Q914" s="774"/>
      <c r="R914" s="774"/>
      <c r="S914" s="774"/>
    </row>
    <row r="915" spans="14:19" ht="29.1" customHeight="1">
      <c r="N915" s="774"/>
      <c r="O915" s="774"/>
      <c r="P915" s="774"/>
      <c r="Q915" s="774"/>
      <c r="R915" s="774"/>
      <c r="S915" s="774"/>
    </row>
    <row r="916" spans="14:19" ht="29.1" customHeight="1">
      <c r="N916" s="774"/>
      <c r="O916" s="774"/>
      <c r="P916" s="774"/>
      <c r="Q916" s="774"/>
      <c r="R916" s="774"/>
      <c r="S916" s="774"/>
    </row>
    <row r="917" spans="14:19" ht="29.1" customHeight="1">
      <c r="N917" s="774"/>
      <c r="O917" s="774"/>
      <c r="P917" s="774"/>
      <c r="Q917" s="774"/>
      <c r="R917" s="774"/>
      <c r="S917" s="774"/>
    </row>
    <row r="918" spans="14:19" ht="29.1" customHeight="1">
      <c r="N918" s="774"/>
      <c r="O918" s="774"/>
      <c r="P918" s="774"/>
      <c r="Q918" s="774"/>
      <c r="R918" s="774"/>
      <c r="S918" s="774"/>
    </row>
    <row r="919" spans="14:19" ht="29.1" customHeight="1">
      <c r="N919" s="774"/>
      <c r="O919" s="774"/>
      <c r="P919" s="774"/>
      <c r="Q919" s="774"/>
      <c r="R919" s="774"/>
      <c r="S919" s="774"/>
    </row>
    <row r="920" spans="14:19" ht="29.1" customHeight="1">
      <c r="N920" s="774"/>
      <c r="O920" s="774"/>
      <c r="P920" s="774"/>
      <c r="Q920" s="774"/>
      <c r="R920" s="774"/>
      <c r="S920" s="774"/>
    </row>
    <row r="921" spans="14:19" ht="29.1" customHeight="1">
      <c r="N921" s="774"/>
      <c r="O921" s="774"/>
      <c r="P921" s="774"/>
      <c r="Q921" s="774"/>
      <c r="R921" s="774"/>
      <c r="S921" s="774"/>
    </row>
    <row r="922" spans="14:19" ht="29.1" customHeight="1">
      <c r="N922" s="774"/>
      <c r="O922" s="774"/>
      <c r="P922" s="774"/>
      <c r="Q922" s="774"/>
      <c r="R922" s="774"/>
      <c r="S922" s="774"/>
    </row>
    <row r="923" spans="14:19" ht="29.1" customHeight="1">
      <c r="N923" s="774"/>
      <c r="O923" s="774"/>
      <c r="P923" s="774"/>
      <c r="Q923" s="774"/>
      <c r="R923" s="774"/>
      <c r="S923" s="774"/>
    </row>
    <row r="924" spans="14:19" ht="29.1" customHeight="1">
      <c r="N924" s="774"/>
      <c r="O924" s="774"/>
      <c r="P924" s="774"/>
      <c r="Q924" s="774"/>
      <c r="R924" s="774"/>
      <c r="S924" s="774"/>
    </row>
    <row r="925" spans="14:19" ht="29.1" customHeight="1">
      <c r="N925" s="774"/>
      <c r="O925" s="774"/>
      <c r="P925" s="774"/>
      <c r="Q925" s="774"/>
      <c r="R925" s="774"/>
      <c r="S925" s="774"/>
    </row>
    <row r="926" spans="14:19" ht="29.1" customHeight="1">
      <c r="N926" s="774"/>
      <c r="O926" s="774"/>
      <c r="P926" s="774"/>
      <c r="Q926" s="774"/>
      <c r="R926" s="774"/>
      <c r="S926" s="774"/>
    </row>
    <row r="927" spans="14:19" ht="29.1" customHeight="1">
      <c r="N927" s="774"/>
      <c r="O927" s="774"/>
      <c r="P927" s="774"/>
      <c r="Q927" s="774"/>
      <c r="R927" s="774"/>
      <c r="S927" s="774"/>
    </row>
    <row r="928" spans="14:19" ht="29.1" customHeight="1">
      <c r="N928" s="774"/>
      <c r="O928" s="774"/>
      <c r="P928" s="774"/>
      <c r="Q928" s="774"/>
      <c r="R928" s="774"/>
      <c r="S928" s="774"/>
    </row>
    <row r="929" spans="14:19" ht="29.1" customHeight="1">
      <c r="N929" s="774"/>
      <c r="O929" s="774"/>
      <c r="P929" s="774"/>
      <c r="Q929" s="774"/>
      <c r="R929" s="774"/>
      <c r="S929" s="774"/>
    </row>
    <row r="930" spans="14:19" ht="29.1" customHeight="1">
      <c r="N930" s="774"/>
      <c r="O930" s="774"/>
      <c r="P930" s="774"/>
      <c r="Q930" s="774"/>
      <c r="R930" s="774"/>
      <c r="S930" s="774"/>
    </row>
    <row r="931" spans="14:19" ht="29.1" customHeight="1">
      <c r="N931" s="774"/>
      <c r="O931" s="774"/>
      <c r="P931" s="774"/>
      <c r="Q931" s="774"/>
      <c r="R931" s="774"/>
      <c r="S931" s="774"/>
    </row>
    <row r="932" spans="14:19" ht="29.1" customHeight="1">
      <c r="N932" s="774"/>
      <c r="O932" s="774"/>
      <c r="P932" s="774"/>
      <c r="Q932" s="774"/>
      <c r="R932" s="774"/>
      <c r="S932" s="774"/>
    </row>
    <row r="933" spans="14:19" ht="29.1" customHeight="1">
      <c r="N933" s="774"/>
      <c r="O933" s="774"/>
      <c r="P933" s="774"/>
      <c r="Q933" s="774"/>
      <c r="R933" s="774"/>
      <c r="S933" s="774"/>
    </row>
    <row r="934" spans="14:19" ht="29.1" customHeight="1">
      <c r="N934" s="774"/>
      <c r="O934" s="774"/>
      <c r="P934" s="774"/>
      <c r="Q934" s="774"/>
      <c r="R934" s="774"/>
      <c r="S934" s="774"/>
    </row>
    <row r="935" spans="14:19" ht="29.1" customHeight="1">
      <c r="N935" s="774"/>
      <c r="O935" s="774"/>
      <c r="P935" s="774"/>
      <c r="Q935" s="774"/>
      <c r="R935" s="774"/>
      <c r="S935" s="774"/>
    </row>
    <row r="936" spans="14:19" ht="29.1" customHeight="1">
      <c r="N936" s="774"/>
      <c r="O936" s="774"/>
      <c r="P936" s="774"/>
      <c r="Q936" s="774"/>
      <c r="R936" s="774"/>
      <c r="S936" s="774"/>
    </row>
    <row r="937" spans="14:19" ht="29.1" customHeight="1">
      <c r="N937" s="774"/>
      <c r="O937" s="774"/>
      <c r="P937" s="774"/>
      <c r="Q937" s="774"/>
      <c r="R937" s="774"/>
      <c r="S937" s="774"/>
    </row>
    <row r="938" spans="14:19" ht="29.1" customHeight="1">
      <c r="N938" s="774"/>
      <c r="O938" s="774"/>
      <c r="P938" s="774"/>
      <c r="Q938" s="774"/>
      <c r="R938" s="774"/>
      <c r="S938" s="774"/>
    </row>
    <row r="939" spans="14:19" ht="29.1" customHeight="1">
      <c r="N939" s="774"/>
      <c r="O939" s="774"/>
      <c r="P939" s="774"/>
      <c r="Q939" s="774"/>
      <c r="R939" s="774"/>
      <c r="S939" s="774"/>
    </row>
    <row r="940" spans="14:19" ht="29.1" customHeight="1">
      <c r="N940" s="774"/>
      <c r="O940" s="774"/>
      <c r="P940" s="774"/>
      <c r="Q940" s="774"/>
      <c r="R940" s="774"/>
      <c r="S940" s="774"/>
    </row>
    <row r="941" spans="14:19" ht="29.1" customHeight="1">
      <c r="N941" s="774"/>
      <c r="O941" s="774"/>
      <c r="P941" s="774"/>
      <c r="Q941" s="774"/>
      <c r="R941" s="774"/>
      <c r="S941" s="774"/>
    </row>
    <row r="942" spans="14:19" ht="29.1" customHeight="1">
      <c r="N942" s="774"/>
      <c r="O942" s="774"/>
      <c r="P942" s="774"/>
      <c r="Q942" s="774"/>
      <c r="R942" s="774"/>
      <c r="S942" s="774"/>
    </row>
    <row r="943" spans="14:19" ht="29.1" customHeight="1">
      <c r="N943" s="774"/>
      <c r="O943" s="774"/>
      <c r="P943" s="774"/>
      <c r="Q943" s="774"/>
      <c r="R943" s="774"/>
      <c r="S943" s="774"/>
    </row>
    <row r="944" spans="14:19" ht="29.1" customHeight="1">
      <c r="N944" s="774"/>
      <c r="O944" s="774"/>
      <c r="P944" s="774"/>
      <c r="Q944" s="774"/>
      <c r="R944" s="774"/>
      <c r="S944" s="774"/>
    </row>
    <row r="945" spans="14:19" ht="29.1" customHeight="1">
      <c r="N945" s="774"/>
      <c r="O945" s="774"/>
      <c r="P945" s="774"/>
      <c r="Q945" s="774"/>
      <c r="R945" s="774"/>
      <c r="S945" s="774"/>
    </row>
    <row r="946" spans="14:19" ht="29.1" customHeight="1">
      <c r="N946" s="774"/>
      <c r="O946" s="774"/>
      <c r="P946" s="774"/>
      <c r="Q946" s="774"/>
      <c r="R946" s="774"/>
      <c r="S946" s="774"/>
    </row>
    <row r="947" spans="14:19" ht="29.1" customHeight="1">
      <c r="N947" s="774"/>
      <c r="O947" s="774"/>
      <c r="P947" s="774"/>
      <c r="Q947" s="774"/>
      <c r="R947" s="774"/>
      <c r="S947" s="774"/>
    </row>
    <row r="948" spans="14:19" ht="29.1" customHeight="1">
      <c r="N948" s="774"/>
      <c r="O948" s="774"/>
      <c r="P948" s="774"/>
      <c r="Q948" s="774"/>
      <c r="R948" s="774"/>
      <c r="S948" s="774"/>
    </row>
    <row r="949" spans="14:19" ht="29.1" customHeight="1">
      <c r="N949" s="774"/>
      <c r="O949" s="774"/>
      <c r="P949" s="774"/>
      <c r="Q949" s="774"/>
      <c r="R949" s="774"/>
      <c r="S949" s="774"/>
    </row>
    <row r="950" spans="14:19" ht="29.1" customHeight="1">
      <c r="N950" s="774"/>
      <c r="O950" s="774"/>
      <c r="P950" s="774"/>
      <c r="Q950" s="774"/>
      <c r="R950" s="774"/>
      <c r="S950" s="774"/>
    </row>
    <row r="951" spans="14:19" ht="29.1" customHeight="1">
      <c r="N951" s="774"/>
      <c r="O951" s="774"/>
      <c r="P951" s="774"/>
      <c r="Q951" s="774"/>
      <c r="R951" s="774"/>
      <c r="S951" s="774"/>
    </row>
    <row r="952" spans="14:19" ht="29.1" customHeight="1">
      <c r="N952" s="774"/>
      <c r="O952" s="774"/>
      <c r="P952" s="774"/>
      <c r="Q952" s="774"/>
      <c r="R952" s="774"/>
      <c r="S952" s="774"/>
    </row>
    <row r="953" spans="14:19" ht="29.1" customHeight="1">
      <c r="N953" s="774"/>
      <c r="O953" s="774"/>
      <c r="P953" s="774"/>
      <c r="Q953" s="774"/>
      <c r="R953" s="774"/>
      <c r="S953" s="774"/>
    </row>
    <row r="954" spans="14:19" ht="29.1" customHeight="1">
      <c r="N954" s="774"/>
      <c r="O954" s="774"/>
      <c r="P954" s="774"/>
      <c r="Q954" s="774"/>
      <c r="R954" s="774"/>
      <c r="S954" s="774"/>
    </row>
    <row r="955" spans="14:19" ht="29.1" customHeight="1">
      <c r="N955" s="774"/>
      <c r="O955" s="774"/>
      <c r="P955" s="774"/>
      <c r="Q955" s="774"/>
      <c r="R955" s="774"/>
      <c r="S955" s="774"/>
    </row>
    <row r="956" spans="14:19" ht="29.1" customHeight="1">
      <c r="N956" s="774"/>
      <c r="O956" s="774"/>
      <c r="P956" s="774"/>
      <c r="Q956" s="774"/>
      <c r="R956" s="774"/>
      <c r="S956" s="774"/>
    </row>
    <row r="957" spans="14:19" ht="29.1" customHeight="1">
      <c r="N957" s="774"/>
      <c r="O957" s="774"/>
      <c r="P957" s="774"/>
      <c r="Q957" s="774"/>
      <c r="R957" s="774"/>
      <c r="S957" s="774"/>
    </row>
    <row r="958" spans="14:19" ht="29.1" customHeight="1">
      <c r="N958" s="774"/>
      <c r="O958" s="774"/>
      <c r="P958" s="774"/>
      <c r="Q958" s="774"/>
      <c r="R958" s="774"/>
      <c r="S958" s="774"/>
    </row>
    <row r="959" spans="14:19" ht="29.1" customHeight="1">
      <c r="N959" s="774"/>
      <c r="O959" s="774"/>
      <c r="P959" s="774"/>
      <c r="Q959" s="774"/>
      <c r="R959" s="774"/>
      <c r="S959" s="774"/>
    </row>
    <row r="960" spans="14:19" ht="29.1" customHeight="1">
      <c r="N960" s="774"/>
      <c r="O960" s="774"/>
      <c r="P960" s="774"/>
      <c r="Q960" s="774"/>
      <c r="R960" s="774"/>
      <c r="S960" s="774"/>
    </row>
    <row r="961" spans="14:19" ht="29.1" customHeight="1">
      <c r="N961" s="774"/>
      <c r="O961" s="774"/>
      <c r="P961" s="774"/>
      <c r="Q961" s="774"/>
      <c r="R961" s="774"/>
      <c r="S961" s="774"/>
    </row>
    <row r="962" spans="14:19" ht="29.1" customHeight="1">
      <c r="N962" s="774"/>
      <c r="O962" s="774"/>
      <c r="P962" s="774"/>
      <c r="Q962" s="774"/>
      <c r="R962" s="774"/>
      <c r="S962" s="774"/>
    </row>
    <row r="963" spans="14:19" ht="29.1" customHeight="1">
      <c r="N963" s="774"/>
      <c r="O963" s="774"/>
      <c r="P963" s="774"/>
      <c r="Q963" s="774"/>
      <c r="R963" s="774"/>
      <c r="S963" s="774"/>
    </row>
    <row r="964" spans="14:19" ht="29.1" customHeight="1">
      <c r="N964" s="774"/>
      <c r="O964" s="774"/>
      <c r="P964" s="774"/>
      <c r="Q964" s="774"/>
      <c r="R964" s="774"/>
      <c r="S964" s="774"/>
    </row>
    <row r="965" spans="14:19" ht="29.1" customHeight="1">
      <c r="N965" s="774"/>
      <c r="O965" s="774"/>
      <c r="P965" s="774"/>
      <c r="Q965" s="774"/>
      <c r="R965" s="774"/>
      <c r="S965" s="774"/>
    </row>
    <row r="966" spans="14:19" ht="29.1" customHeight="1">
      <c r="N966" s="774"/>
      <c r="O966" s="774"/>
      <c r="P966" s="774"/>
      <c r="Q966" s="774"/>
      <c r="R966" s="774"/>
      <c r="S966" s="774"/>
    </row>
    <row r="967" spans="14:19" ht="29.1" customHeight="1">
      <c r="N967" s="774"/>
      <c r="O967" s="774"/>
      <c r="P967" s="774"/>
      <c r="Q967" s="774"/>
      <c r="R967" s="774"/>
      <c r="S967" s="774"/>
    </row>
    <row r="968" spans="14:19" ht="29.1" customHeight="1">
      <c r="N968" s="774"/>
      <c r="O968" s="774"/>
      <c r="P968" s="774"/>
      <c r="Q968" s="774"/>
      <c r="R968" s="774"/>
      <c r="S968" s="774"/>
    </row>
    <row r="969" spans="14:19" ht="29.1" customHeight="1">
      <c r="N969" s="774"/>
      <c r="O969" s="774"/>
      <c r="P969" s="774"/>
      <c r="Q969" s="774"/>
      <c r="R969" s="774"/>
      <c r="S969" s="774"/>
    </row>
    <row r="970" spans="14:19" ht="29.1" customHeight="1">
      <c r="N970" s="774"/>
      <c r="O970" s="774"/>
      <c r="P970" s="774"/>
      <c r="Q970" s="774"/>
      <c r="R970" s="774"/>
      <c r="S970" s="774"/>
    </row>
    <row r="971" spans="14:19" ht="29.1" customHeight="1">
      <c r="N971" s="774"/>
      <c r="O971" s="774"/>
      <c r="P971" s="774"/>
      <c r="Q971" s="774"/>
      <c r="R971" s="774"/>
      <c r="S971" s="774"/>
    </row>
    <row r="972" spans="14:19" ht="29.1" customHeight="1">
      <c r="N972" s="774"/>
      <c r="O972" s="774"/>
      <c r="P972" s="774"/>
      <c r="Q972" s="774"/>
      <c r="R972" s="774"/>
      <c r="S972" s="774"/>
    </row>
    <row r="973" spans="14:19" ht="29.1" customHeight="1">
      <c r="N973" s="774"/>
      <c r="O973" s="774"/>
      <c r="P973" s="774"/>
      <c r="Q973" s="774"/>
      <c r="R973" s="774"/>
      <c r="S973" s="774"/>
    </row>
    <row r="974" spans="14:19" ht="29.1" customHeight="1">
      <c r="N974" s="774"/>
      <c r="O974" s="774"/>
      <c r="P974" s="774"/>
      <c r="Q974" s="774"/>
      <c r="R974" s="774"/>
      <c r="S974" s="774"/>
    </row>
    <row r="975" spans="14:19" ht="29.1" customHeight="1">
      <c r="N975" s="774"/>
      <c r="O975" s="774"/>
      <c r="P975" s="774"/>
      <c r="Q975" s="774"/>
      <c r="R975" s="774"/>
      <c r="S975" s="774"/>
    </row>
    <row r="976" spans="14:19" ht="29.1" customHeight="1">
      <c r="N976" s="774"/>
      <c r="O976" s="774"/>
      <c r="P976" s="774"/>
      <c r="Q976" s="774"/>
      <c r="R976" s="774"/>
      <c r="S976" s="774"/>
    </row>
    <row r="977" spans="14:19" ht="29.1" customHeight="1">
      <c r="N977" s="774"/>
      <c r="O977" s="774"/>
      <c r="P977" s="774"/>
      <c r="Q977" s="774"/>
      <c r="R977" s="774"/>
      <c r="S977" s="774"/>
    </row>
    <row r="978" spans="14:19" ht="29.1" customHeight="1">
      <c r="N978" s="774"/>
      <c r="O978" s="774"/>
      <c r="P978" s="774"/>
      <c r="Q978" s="774"/>
      <c r="R978" s="774"/>
      <c r="S978" s="774"/>
    </row>
    <row r="979" spans="14:19" ht="29.1" customHeight="1">
      <c r="N979" s="774"/>
      <c r="O979" s="774"/>
      <c r="P979" s="774"/>
      <c r="Q979" s="774"/>
      <c r="R979" s="774"/>
      <c r="S979" s="774"/>
    </row>
    <row r="980" spans="14:19" ht="29.1" customHeight="1">
      <c r="N980" s="774"/>
      <c r="O980" s="774"/>
      <c r="P980" s="774"/>
      <c r="Q980" s="774"/>
      <c r="R980" s="774"/>
      <c r="S980" s="774"/>
    </row>
    <row r="981" spans="14:19" ht="29.1" customHeight="1">
      <c r="N981" s="774"/>
      <c r="O981" s="774"/>
      <c r="P981" s="774"/>
      <c r="Q981" s="774"/>
      <c r="R981" s="774"/>
      <c r="S981" s="774"/>
    </row>
    <row r="982" spans="14:19" ht="29.1" customHeight="1">
      <c r="N982" s="774"/>
      <c r="O982" s="774"/>
      <c r="P982" s="774"/>
      <c r="Q982" s="774"/>
      <c r="R982" s="774"/>
      <c r="S982" s="774"/>
    </row>
    <row r="983" spans="14:19" ht="29.1" customHeight="1">
      <c r="N983" s="774"/>
      <c r="O983" s="774"/>
      <c r="P983" s="774"/>
      <c r="Q983" s="774"/>
      <c r="R983" s="774"/>
      <c r="S983" s="774"/>
    </row>
    <row r="984" spans="14:19" ht="29.1" customHeight="1">
      <c r="N984" s="774"/>
      <c r="O984" s="774"/>
      <c r="P984" s="774"/>
      <c r="Q984" s="774"/>
      <c r="R984" s="774"/>
      <c r="S984" s="774"/>
    </row>
    <row r="985" spans="14:19" ht="29.1" customHeight="1">
      <c r="N985" s="774"/>
      <c r="O985" s="774"/>
      <c r="P985" s="774"/>
      <c r="Q985" s="774"/>
      <c r="R985" s="774"/>
      <c r="S985" s="774"/>
    </row>
    <row r="986" spans="14:19" ht="29.1" customHeight="1">
      <c r="N986" s="774"/>
      <c r="O986" s="774"/>
      <c r="P986" s="774"/>
      <c r="Q986" s="774"/>
      <c r="R986" s="774"/>
      <c r="S986" s="774"/>
    </row>
    <row r="987" spans="14:19" ht="29.1" customHeight="1">
      <c r="N987" s="774"/>
      <c r="O987" s="774"/>
      <c r="P987" s="774"/>
      <c r="Q987" s="774"/>
      <c r="R987" s="774"/>
      <c r="S987" s="774"/>
    </row>
    <row r="988" spans="14:19" ht="29.1" customHeight="1">
      <c r="N988" s="774"/>
      <c r="O988" s="774"/>
      <c r="P988" s="774"/>
      <c r="Q988" s="774"/>
      <c r="R988" s="774"/>
      <c r="S988" s="774"/>
    </row>
    <row r="989" spans="14:19" ht="29.1" customHeight="1">
      <c r="N989" s="774"/>
      <c r="O989" s="774"/>
      <c r="P989" s="774"/>
      <c r="Q989" s="774"/>
      <c r="R989" s="774"/>
      <c r="S989" s="774"/>
    </row>
    <row r="990" spans="14:19" ht="29.1" customHeight="1">
      <c r="N990" s="774"/>
      <c r="O990" s="774"/>
      <c r="P990" s="774"/>
      <c r="Q990" s="774"/>
      <c r="R990" s="774"/>
      <c r="S990" s="774"/>
    </row>
    <row r="991" spans="14:19" ht="29.1" customHeight="1">
      <c r="N991" s="774"/>
      <c r="O991" s="774"/>
      <c r="P991" s="774"/>
      <c r="Q991" s="774"/>
      <c r="R991" s="774"/>
      <c r="S991" s="774"/>
    </row>
    <row r="992" spans="14:19" ht="29.1" customHeight="1">
      <c r="N992" s="774"/>
      <c r="O992" s="774"/>
      <c r="P992" s="774"/>
      <c r="Q992" s="774"/>
      <c r="R992" s="774"/>
      <c r="S992" s="774"/>
    </row>
    <row r="993" spans="14:19" ht="29.1" customHeight="1">
      <c r="N993" s="774"/>
      <c r="O993" s="774"/>
      <c r="P993" s="774"/>
      <c r="Q993" s="774"/>
      <c r="R993" s="774"/>
      <c r="S993" s="774"/>
    </row>
    <row r="994" spans="14:19" ht="29.1" customHeight="1">
      <c r="N994" s="774"/>
      <c r="O994" s="774"/>
      <c r="P994" s="774"/>
      <c r="Q994" s="774"/>
      <c r="R994" s="774"/>
      <c r="S994" s="774"/>
    </row>
    <row r="995" spans="14:19" ht="29.1" customHeight="1">
      <c r="N995" s="774"/>
      <c r="O995" s="774"/>
      <c r="P995" s="774"/>
      <c r="Q995" s="774"/>
      <c r="R995" s="774"/>
      <c r="S995" s="774"/>
    </row>
    <row r="996" spans="14:19" ht="29.1" customHeight="1">
      <c r="N996" s="774"/>
      <c r="O996" s="774"/>
      <c r="P996" s="774"/>
      <c r="Q996" s="774"/>
      <c r="R996" s="774"/>
      <c r="S996" s="774"/>
    </row>
    <row r="997" spans="14:19" ht="29.1" customHeight="1">
      <c r="N997" s="774"/>
      <c r="O997" s="774"/>
      <c r="P997" s="774"/>
      <c r="Q997" s="774"/>
      <c r="R997" s="774"/>
      <c r="S997" s="774"/>
    </row>
    <row r="998" spans="14:19" ht="29.1" customHeight="1">
      <c r="N998" s="774"/>
      <c r="O998" s="774"/>
      <c r="P998" s="774"/>
      <c r="Q998" s="774"/>
      <c r="R998" s="774"/>
      <c r="S998" s="774"/>
    </row>
    <row r="999" spans="14:19" ht="29.1" customHeight="1">
      <c r="N999" s="774"/>
      <c r="O999" s="774"/>
      <c r="P999" s="774"/>
      <c r="Q999" s="774"/>
      <c r="R999" s="774"/>
      <c r="S999" s="774"/>
    </row>
    <row r="1000" spans="14:19" ht="29.1" customHeight="1">
      <c r="N1000" s="774"/>
      <c r="O1000" s="774"/>
      <c r="P1000" s="774"/>
      <c r="Q1000" s="774"/>
      <c r="R1000" s="774"/>
      <c r="S1000" s="774"/>
    </row>
    <row r="1001" spans="14:19" ht="29.1" customHeight="1">
      <c r="N1001" s="774"/>
      <c r="O1001" s="774"/>
      <c r="P1001" s="774"/>
      <c r="Q1001" s="774"/>
      <c r="R1001" s="774"/>
      <c r="S1001" s="774"/>
    </row>
    <row r="1002" spans="14:19" ht="29.1" customHeight="1">
      <c r="N1002" s="774"/>
      <c r="O1002" s="774"/>
      <c r="P1002" s="774"/>
      <c r="Q1002" s="774"/>
      <c r="R1002" s="774"/>
      <c r="S1002" s="774"/>
    </row>
    <row r="1003" spans="14:19" ht="29.1" customHeight="1">
      <c r="N1003" s="774"/>
      <c r="O1003" s="774"/>
      <c r="P1003" s="774"/>
      <c r="Q1003" s="774"/>
      <c r="R1003" s="774"/>
      <c r="S1003" s="774"/>
    </row>
    <row r="1004" spans="14:19" ht="29.1" customHeight="1">
      <c r="N1004" s="774"/>
      <c r="O1004" s="774"/>
      <c r="P1004" s="774"/>
      <c r="Q1004" s="774"/>
      <c r="R1004" s="774"/>
      <c r="S1004" s="774"/>
    </row>
    <row r="1005" spans="14:19" ht="29.1" customHeight="1">
      <c r="N1005" s="774"/>
      <c r="O1005" s="774"/>
      <c r="P1005" s="774"/>
      <c r="Q1005" s="774"/>
      <c r="R1005" s="774"/>
      <c r="S1005" s="774"/>
    </row>
    <row r="1006" spans="14:19" ht="29.1" customHeight="1">
      <c r="N1006" s="774"/>
      <c r="O1006" s="774"/>
      <c r="P1006" s="774"/>
      <c r="Q1006" s="774"/>
      <c r="R1006" s="774"/>
      <c r="S1006" s="774"/>
    </row>
    <row r="1007" spans="14:19" ht="29.1" customHeight="1">
      <c r="N1007" s="774"/>
      <c r="O1007" s="774"/>
      <c r="P1007" s="774"/>
      <c r="Q1007" s="774"/>
      <c r="R1007" s="774"/>
      <c r="S1007" s="774"/>
    </row>
    <row r="1008" spans="14:19" ht="29.1" customHeight="1">
      <c r="N1008" s="774"/>
      <c r="O1008" s="774"/>
      <c r="P1008" s="774"/>
      <c r="Q1008" s="774"/>
      <c r="R1008" s="774"/>
      <c r="S1008" s="774"/>
    </row>
    <row r="1009" spans="14:19" ht="29.1" customHeight="1">
      <c r="N1009" s="774"/>
      <c r="O1009" s="774"/>
      <c r="P1009" s="774"/>
      <c r="Q1009" s="774"/>
      <c r="R1009" s="774"/>
      <c r="S1009" s="774"/>
    </row>
    <row r="1010" spans="14:19" ht="29.1" customHeight="1">
      <c r="N1010" s="774"/>
      <c r="O1010" s="774"/>
      <c r="P1010" s="774"/>
      <c r="Q1010" s="774"/>
      <c r="R1010" s="774"/>
      <c r="S1010" s="774"/>
    </row>
    <row r="1011" spans="14:19" ht="29.1" customHeight="1">
      <c r="N1011" s="774"/>
      <c r="O1011" s="774"/>
      <c r="P1011" s="774"/>
      <c r="Q1011" s="774"/>
      <c r="R1011" s="774"/>
      <c r="S1011" s="774"/>
    </row>
    <row r="1012" spans="14:19" ht="29.1" customHeight="1">
      <c r="N1012" s="774"/>
      <c r="O1012" s="774"/>
      <c r="P1012" s="774"/>
      <c r="Q1012" s="774"/>
      <c r="R1012" s="774"/>
      <c r="S1012" s="774"/>
    </row>
    <row r="1013" spans="14:19" ht="29.1" customHeight="1">
      <c r="N1013" s="774"/>
      <c r="O1013" s="774"/>
      <c r="P1013" s="774"/>
      <c r="Q1013" s="774"/>
      <c r="R1013" s="774"/>
      <c r="S1013" s="774"/>
    </row>
    <row r="1014" spans="14:19" ht="29.1" customHeight="1">
      <c r="N1014" s="774"/>
      <c r="O1014" s="774"/>
      <c r="P1014" s="774"/>
      <c r="Q1014" s="774"/>
      <c r="R1014" s="774"/>
      <c r="S1014" s="774"/>
    </row>
    <row r="1015" spans="14:19" ht="29.1" customHeight="1">
      <c r="N1015" s="774"/>
      <c r="O1015" s="774"/>
      <c r="P1015" s="774"/>
      <c r="Q1015" s="774"/>
      <c r="R1015" s="774"/>
      <c r="S1015" s="774"/>
    </row>
    <row r="1016" spans="14:19" ht="29.1" customHeight="1">
      <c r="N1016" s="774"/>
      <c r="O1016" s="774"/>
      <c r="P1016" s="774"/>
      <c r="Q1016" s="774"/>
      <c r="R1016" s="774"/>
      <c r="S1016" s="774"/>
    </row>
    <row r="1017" spans="14:19" ht="29.1" customHeight="1">
      <c r="N1017" s="774"/>
      <c r="O1017" s="774"/>
      <c r="P1017" s="774"/>
      <c r="Q1017" s="774"/>
      <c r="R1017" s="774"/>
      <c r="S1017" s="774"/>
    </row>
    <row r="1018" spans="14:19" ht="29.1" customHeight="1">
      <c r="N1018" s="774"/>
      <c r="O1018" s="774"/>
      <c r="P1018" s="774"/>
      <c r="Q1018" s="774"/>
      <c r="R1018" s="774"/>
      <c r="S1018" s="774"/>
    </row>
    <row r="1019" spans="14:19" ht="29.1" customHeight="1">
      <c r="N1019" s="774"/>
      <c r="O1019" s="774"/>
      <c r="P1019" s="774"/>
      <c r="Q1019" s="774"/>
      <c r="R1019" s="774"/>
      <c r="S1019" s="774"/>
    </row>
    <row r="1020" spans="14:19" ht="29.1" customHeight="1">
      <c r="N1020" s="774"/>
      <c r="O1020" s="774"/>
      <c r="P1020" s="774"/>
      <c r="Q1020" s="774"/>
      <c r="R1020" s="774"/>
      <c r="S1020" s="774"/>
    </row>
    <row r="1021" spans="14:19" ht="29.1" customHeight="1">
      <c r="N1021" s="774"/>
      <c r="O1021" s="774"/>
      <c r="P1021" s="774"/>
      <c r="Q1021" s="774"/>
      <c r="R1021" s="774"/>
      <c r="S1021" s="774"/>
    </row>
    <row r="1022" spans="14:19" ht="29.1" customHeight="1">
      <c r="N1022" s="774"/>
      <c r="O1022" s="774"/>
      <c r="P1022" s="774"/>
      <c r="Q1022" s="774"/>
      <c r="R1022" s="774"/>
      <c r="S1022" s="774"/>
    </row>
    <row r="1023" spans="14:19" ht="29.1" customHeight="1">
      <c r="N1023" s="774"/>
      <c r="O1023" s="774"/>
      <c r="P1023" s="774"/>
      <c r="Q1023" s="774"/>
      <c r="R1023" s="774"/>
      <c r="S1023" s="774"/>
    </row>
    <row r="1024" spans="14:19" ht="29.1" customHeight="1">
      <c r="N1024" s="774"/>
      <c r="O1024" s="774"/>
      <c r="P1024" s="774"/>
      <c r="Q1024" s="774"/>
      <c r="R1024" s="774"/>
      <c r="S1024" s="774"/>
    </row>
    <row r="1025" spans="14:19" ht="29.1" customHeight="1">
      <c r="N1025" s="774"/>
      <c r="O1025" s="774"/>
      <c r="P1025" s="774"/>
      <c r="Q1025" s="774"/>
      <c r="R1025" s="774"/>
      <c r="S1025" s="774"/>
    </row>
    <row r="1026" spans="14:19" ht="29.1" customHeight="1">
      <c r="N1026" s="774"/>
      <c r="O1026" s="774"/>
      <c r="P1026" s="774"/>
      <c r="Q1026" s="774"/>
      <c r="R1026" s="774"/>
      <c r="S1026" s="774"/>
    </row>
    <row r="1027" spans="14:19" ht="29.1" customHeight="1">
      <c r="N1027" s="774"/>
      <c r="O1027" s="774"/>
      <c r="P1027" s="774"/>
      <c r="Q1027" s="774"/>
      <c r="R1027" s="774"/>
      <c r="S1027" s="774"/>
    </row>
    <row r="1028" spans="14:19" ht="29.1" customHeight="1">
      <c r="N1028" s="774"/>
      <c r="O1028" s="774"/>
      <c r="P1028" s="774"/>
      <c r="Q1028" s="774"/>
      <c r="R1028" s="774"/>
      <c r="S1028" s="774"/>
    </row>
    <row r="1029" spans="14:19" ht="29.1" customHeight="1">
      <c r="N1029" s="774"/>
      <c r="O1029" s="774"/>
      <c r="P1029" s="774"/>
      <c r="Q1029" s="774"/>
      <c r="R1029" s="774"/>
      <c r="S1029" s="774"/>
    </row>
    <row r="1030" spans="14:19" ht="29.1" customHeight="1">
      <c r="N1030" s="774"/>
      <c r="O1030" s="774"/>
      <c r="P1030" s="774"/>
      <c r="Q1030" s="774"/>
      <c r="R1030" s="774"/>
      <c r="S1030" s="774"/>
    </row>
    <row r="1031" spans="14:19" ht="29.1" customHeight="1">
      <c r="N1031" s="774"/>
      <c r="O1031" s="774"/>
      <c r="P1031" s="774"/>
      <c r="Q1031" s="774"/>
      <c r="R1031" s="774"/>
      <c r="S1031" s="774"/>
    </row>
    <row r="1032" spans="14:19" ht="29.1" customHeight="1">
      <c r="N1032" s="774"/>
      <c r="O1032" s="774"/>
      <c r="P1032" s="774"/>
      <c r="Q1032" s="774"/>
      <c r="R1032" s="774"/>
      <c r="S1032" s="774"/>
    </row>
    <row r="1033" spans="14:19" ht="29.1" customHeight="1">
      <c r="N1033" s="774"/>
      <c r="O1033" s="774"/>
      <c r="P1033" s="774"/>
      <c r="Q1033" s="774"/>
      <c r="R1033" s="774"/>
      <c r="S1033" s="774"/>
    </row>
    <row r="1034" spans="14:19" ht="29.1" customHeight="1">
      <c r="N1034" s="774"/>
      <c r="O1034" s="774"/>
      <c r="P1034" s="774"/>
      <c r="Q1034" s="774"/>
      <c r="R1034" s="774"/>
      <c r="S1034" s="774"/>
    </row>
    <row r="1035" spans="14:19" ht="29.1" customHeight="1">
      <c r="N1035" s="774"/>
      <c r="O1035" s="774"/>
      <c r="P1035" s="774"/>
      <c r="Q1035" s="774"/>
      <c r="R1035" s="774"/>
      <c r="S1035" s="774"/>
    </row>
    <row r="1036" spans="14:19" ht="29.1" customHeight="1">
      <c r="N1036" s="774"/>
      <c r="O1036" s="774"/>
      <c r="P1036" s="774"/>
      <c r="Q1036" s="774"/>
      <c r="R1036" s="774"/>
      <c r="S1036" s="774"/>
    </row>
    <row r="1037" spans="14:19" ht="29.1" customHeight="1">
      <c r="N1037" s="774"/>
      <c r="O1037" s="774"/>
      <c r="P1037" s="774"/>
      <c r="Q1037" s="774"/>
      <c r="R1037" s="774"/>
      <c r="S1037" s="774"/>
    </row>
    <row r="1038" spans="14:19" ht="29.1" customHeight="1">
      <c r="N1038" s="774"/>
      <c r="O1038" s="774"/>
      <c r="P1038" s="774"/>
      <c r="Q1038" s="774"/>
      <c r="R1038" s="774"/>
      <c r="S1038" s="774"/>
    </row>
    <row r="1039" spans="14:19" ht="29.1" customHeight="1">
      <c r="N1039" s="774"/>
      <c r="O1039" s="774"/>
      <c r="P1039" s="774"/>
      <c r="Q1039" s="774"/>
      <c r="R1039" s="774"/>
      <c r="S1039" s="774"/>
    </row>
    <row r="1040" spans="14:19" ht="29.1" customHeight="1">
      <c r="N1040" s="774"/>
      <c r="O1040" s="774"/>
      <c r="P1040" s="774"/>
      <c r="Q1040" s="774"/>
      <c r="R1040" s="774"/>
      <c r="S1040" s="774"/>
    </row>
    <row r="1041" spans="14:19" ht="29.1" customHeight="1">
      <c r="N1041" s="774"/>
      <c r="O1041" s="774"/>
      <c r="P1041" s="774"/>
      <c r="Q1041" s="774"/>
      <c r="R1041" s="774"/>
      <c r="S1041" s="774"/>
    </row>
    <row r="1042" spans="14:19" ht="29.1" customHeight="1">
      <c r="N1042" s="774"/>
      <c r="O1042" s="774"/>
      <c r="P1042" s="774"/>
      <c r="Q1042" s="774"/>
      <c r="R1042" s="774"/>
      <c r="S1042" s="774"/>
    </row>
    <row r="1043" spans="14:19" ht="29.1" customHeight="1">
      <c r="N1043" s="774"/>
      <c r="O1043" s="774"/>
      <c r="P1043" s="774"/>
      <c r="Q1043" s="774"/>
      <c r="R1043" s="774"/>
      <c r="S1043" s="774"/>
    </row>
    <row r="1044" spans="14:19" ht="29.1" customHeight="1">
      <c r="N1044" s="774"/>
      <c r="O1044" s="774"/>
      <c r="P1044" s="774"/>
      <c r="Q1044" s="774"/>
      <c r="R1044" s="774"/>
      <c r="S1044" s="774"/>
    </row>
    <row r="1045" spans="14:19" ht="29.1" customHeight="1">
      <c r="N1045" s="774"/>
      <c r="O1045" s="774"/>
      <c r="P1045" s="774"/>
      <c r="Q1045" s="774"/>
      <c r="R1045" s="774"/>
      <c r="S1045" s="774"/>
    </row>
    <row r="1046" spans="14:19" ht="29.1" customHeight="1">
      <c r="N1046" s="774"/>
      <c r="O1046" s="774"/>
      <c r="P1046" s="774"/>
      <c r="Q1046" s="774"/>
      <c r="R1046" s="774"/>
      <c r="S1046" s="774"/>
    </row>
    <row r="1047" spans="14:19" ht="29.1" customHeight="1">
      <c r="N1047" s="774"/>
      <c r="O1047" s="774"/>
      <c r="P1047" s="774"/>
      <c r="Q1047" s="774"/>
      <c r="R1047" s="774"/>
      <c r="S1047" s="774"/>
    </row>
    <row r="1048" spans="14:19" ht="29.1" customHeight="1">
      <c r="N1048" s="774"/>
      <c r="O1048" s="774"/>
      <c r="P1048" s="774"/>
      <c r="Q1048" s="774"/>
      <c r="R1048" s="774"/>
      <c r="S1048" s="774"/>
    </row>
    <row r="1049" spans="14:19" ht="29.1" customHeight="1">
      <c r="N1049" s="774"/>
      <c r="O1049" s="774"/>
      <c r="P1049" s="774"/>
      <c r="Q1049" s="774"/>
      <c r="R1049" s="774"/>
      <c r="S1049" s="774"/>
    </row>
    <row r="1050" spans="14:19" ht="29.1" customHeight="1">
      <c r="N1050" s="774"/>
      <c r="O1050" s="774"/>
      <c r="P1050" s="774"/>
      <c r="Q1050" s="774"/>
      <c r="R1050" s="774"/>
      <c r="S1050" s="774"/>
    </row>
    <row r="1051" spans="14:19" ht="29.1" customHeight="1">
      <c r="N1051" s="774"/>
      <c r="O1051" s="774"/>
      <c r="P1051" s="774"/>
      <c r="Q1051" s="774"/>
      <c r="R1051" s="774"/>
      <c r="S1051" s="774"/>
    </row>
    <row r="1052" spans="14:19" ht="29.1" customHeight="1">
      <c r="N1052" s="774"/>
      <c r="O1052" s="774"/>
      <c r="P1052" s="774"/>
      <c r="Q1052" s="774"/>
      <c r="R1052" s="774"/>
      <c r="S1052" s="774"/>
    </row>
    <row r="1053" spans="14:19" ht="29.1" customHeight="1">
      <c r="N1053" s="774"/>
      <c r="O1053" s="774"/>
      <c r="P1053" s="774"/>
      <c r="Q1053" s="774"/>
      <c r="R1053" s="774"/>
      <c r="S1053" s="774"/>
    </row>
    <row r="1054" spans="14:19" ht="29.1" customHeight="1">
      <c r="N1054" s="774"/>
      <c r="O1054" s="774"/>
      <c r="P1054" s="774"/>
      <c r="Q1054" s="774"/>
      <c r="R1054" s="774"/>
      <c r="S1054" s="774"/>
    </row>
    <row r="1055" spans="14:19" ht="29.1" customHeight="1">
      <c r="N1055" s="774"/>
      <c r="O1055" s="774"/>
      <c r="P1055" s="774"/>
      <c r="Q1055" s="774"/>
      <c r="R1055" s="774"/>
      <c r="S1055" s="774"/>
    </row>
    <row r="1056" spans="14:19" ht="29.1" customHeight="1">
      <c r="N1056" s="774"/>
      <c r="O1056" s="774"/>
      <c r="P1056" s="774"/>
      <c r="Q1056" s="774"/>
      <c r="R1056" s="774"/>
      <c r="S1056" s="774"/>
    </row>
    <row r="1057" spans="14:19" ht="29.1" customHeight="1">
      <c r="N1057" s="774"/>
      <c r="O1057" s="774"/>
      <c r="P1057" s="774"/>
      <c r="Q1057" s="774"/>
      <c r="R1057" s="774"/>
      <c r="S1057" s="774"/>
    </row>
    <row r="1058" spans="14:19" ht="29.1" customHeight="1">
      <c r="N1058" s="774"/>
      <c r="O1058" s="774"/>
      <c r="P1058" s="774"/>
      <c r="Q1058" s="774"/>
      <c r="R1058" s="774"/>
      <c r="S1058" s="774"/>
    </row>
    <row r="1059" spans="14:19" ht="29.1" customHeight="1">
      <c r="N1059" s="774"/>
      <c r="O1059" s="774"/>
      <c r="P1059" s="774"/>
      <c r="Q1059" s="774"/>
      <c r="R1059" s="774"/>
      <c r="S1059" s="774"/>
    </row>
    <row r="1060" spans="14:19" ht="29.1" customHeight="1">
      <c r="N1060" s="774"/>
      <c r="O1060" s="774"/>
      <c r="P1060" s="774"/>
      <c r="Q1060" s="774"/>
      <c r="R1060" s="774"/>
      <c r="S1060" s="774"/>
    </row>
    <row r="1061" spans="14:19" ht="29.1" customHeight="1">
      <c r="N1061" s="774"/>
      <c r="O1061" s="774"/>
      <c r="P1061" s="774"/>
      <c r="Q1061" s="774"/>
      <c r="R1061" s="774"/>
      <c r="S1061" s="774"/>
    </row>
    <row r="1062" spans="14:19" ht="29.1" customHeight="1">
      <c r="N1062" s="774"/>
      <c r="O1062" s="774"/>
      <c r="P1062" s="774"/>
      <c r="Q1062" s="774"/>
      <c r="R1062" s="774"/>
      <c r="S1062" s="774"/>
    </row>
    <row r="1063" spans="14:19" ht="29.1" customHeight="1">
      <c r="N1063" s="774"/>
      <c r="O1063" s="774"/>
      <c r="P1063" s="774"/>
      <c r="Q1063" s="774"/>
      <c r="R1063" s="774"/>
      <c r="S1063" s="774"/>
    </row>
    <row r="1064" spans="14:19" ht="29.1" customHeight="1">
      <c r="N1064" s="774"/>
      <c r="O1064" s="774"/>
      <c r="P1064" s="774"/>
      <c r="Q1064" s="774"/>
      <c r="R1064" s="774"/>
      <c r="S1064" s="774"/>
    </row>
    <row r="1065" spans="14:19" ht="29.1" customHeight="1">
      <c r="N1065" s="774"/>
      <c r="O1065" s="774"/>
      <c r="P1065" s="774"/>
      <c r="Q1065" s="774"/>
      <c r="R1065" s="774"/>
      <c r="S1065" s="774"/>
    </row>
    <row r="1066" spans="14:19" ht="29.1" customHeight="1">
      <c r="N1066" s="774"/>
      <c r="O1066" s="774"/>
      <c r="P1066" s="774"/>
      <c r="Q1066" s="774"/>
      <c r="R1066" s="774"/>
      <c r="S1066" s="774"/>
    </row>
    <row r="1067" spans="14:19" ht="29.1" customHeight="1">
      <c r="N1067" s="774"/>
      <c r="O1067" s="774"/>
      <c r="P1067" s="774"/>
      <c r="Q1067" s="774"/>
      <c r="R1067" s="774"/>
      <c r="S1067" s="774"/>
    </row>
    <row r="1068" spans="14:19" ht="29.1" customHeight="1">
      <c r="N1068" s="774"/>
      <c r="O1068" s="774"/>
      <c r="P1068" s="774"/>
      <c r="Q1068" s="774"/>
      <c r="R1068" s="774"/>
      <c r="S1068" s="774"/>
    </row>
    <row r="1069" spans="14:19" ht="29.1" customHeight="1">
      <c r="N1069" s="774"/>
      <c r="O1069" s="774"/>
      <c r="P1069" s="774"/>
      <c r="Q1069" s="774"/>
      <c r="R1069" s="774"/>
      <c r="S1069" s="774"/>
    </row>
    <row r="1070" spans="14:19" ht="29.1" customHeight="1">
      <c r="N1070" s="774"/>
      <c r="O1070" s="774"/>
      <c r="P1070" s="774"/>
      <c r="Q1070" s="774"/>
      <c r="R1070" s="774"/>
      <c r="S1070" s="774"/>
    </row>
    <row r="1071" spans="14:19" ht="29.1" customHeight="1">
      <c r="N1071" s="774"/>
      <c r="O1071" s="774"/>
      <c r="P1071" s="774"/>
      <c r="Q1071" s="774"/>
      <c r="R1071" s="774"/>
      <c r="S1071" s="774"/>
    </row>
    <row r="1072" spans="14:19" ht="29.1" customHeight="1">
      <c r="N1072" s="774"/>
      <c r="O1072" s="774"/>
      <c r="P1072" s="774"/>
      <c r="Q1072" s="774"/>
      <c r="R1072" s="774"/>
      <c r="S1072" s="774"/>
    </row>
    <row r="1073" spans="14:19" ht="29.1" customHeight="1">
      <c r="N1073" s="774"/>
      <c r="O1073" s="774"/>
      <c r="P1073" s="774"/>
      <c r="Q1073" s="774"/>
      <c r="R1073" s="774"/>
      <c r="S1073" s="774"/>
    </row>
    <row r="1074" spans="14:19" ht="29.1" customHeight="1">
      <c r="N1074" s="774"/>
      <c r="O1074" s="774"/>
      <c r="P1074" s="774"/>
      <c r="Q1074" s="774"/>
      <c r="R1074" s="774"/>
      <c r="S1074" s="774"/>
    </row>
    <row r="1075" spans="14:19" ht="29.1" customHeight="1">
      <c r="N1075" s="774"/>
      <c r="O1075" s="774"/>
      <c r="P1075" s="774"/>
      <c r="Q1075" s="774"/>
      <c r="R1075" s="774"/>
      <c r="S1075" s="774"/>
    </row>
    <row r="1076" spans="14:19" ht="29.1" customHeight="1">
      <c r="N1076" s="774"/>
      <c r="O1076" s="774"/>
      <c r="P1076" s="774"/>
      <c r="Q1076" s="774"/>
      <c r="R1076" s="774"/>
      <c r="S1076" s="774"/>
    </row>
    <row r="1077" spans="14:19" ht="29.1" customHeight="1">
      <c r="N1077" s="774"/>
      <c r="O1077" s="774"/>
      <c r="P1077" s="774"/>
      <c r="Q1077" s="774"/>
      <c r="R1077" s="774"/>
      <c r="S1077" s="774"/>
    </row>
    <row r="1078" spans="14:19" ht="29.1" customHeight="1">
      <c r="N1078" s="774"/>
      <c r="O1078" s="774"/>
      <c r="P1078" s="774"/>
      <c r="Q1078" s="774"/>
      <c r="R1078" s="774"/>
      <c r="S1078" s="774"/>
    </row>
    <row r="1079" spans="14:19" ht="29.1" customHeight="1">
      <c r="N1079" s="774"/>
      <c r="O1079" s="774"/>
      <c r="P1079" s="774"/>
      <c r="Q1079" s="774"/>
      <c r="R1079" s="774"/>
      <c r="S1079" s="774"/>
    </row>
    <row r="1080" spans="14:19" ht="29.1" customHeight="1">
      <c r="N1080" s="774"/>
      <c r="O1080" s="774"/>
      <c r="P1080" s="774"/>
      <c r="Q1080" s="774"/>
      <c r="R1080" s="774"/>
      <c r="S1080" s="774"/>
    </row>
    <row r="1081" spans="14:19" ht="29.1" customHeight="1">
      <c r="N1081" s="774"/>
      <c r="O1081" s="774"/>
      <c r="P1081" s="774"/>
      <c r="Q1081" s="774"/>
      <c r="R1081" s="774"/>
      <c r="S1081" s="774"/>
    </row>
    <row r="1082" spans="14:19" ht="29.1" customHeight="1">
      <c r="N1082" s="774"/>
      <c r="O1082" s="774"/>
      <c r="P1082" s="774"/>
      <c r="Q1082" s="774"/>
      <c r="R1082" s="774"/>
      <c r="S1082" s="774"/>
    </row>
    <row r="1083" spans="14:19" ht="29.1" customHeight="1">
      <c r="N1083" s="774"/>
      <c r="O1083" s="774"/>
      <c r="P1083" s="774"/>
      <c r="Q1083" s="774"/>
      <c r="R1083" s="774"/>
      <c r="S1083" s="774"/>
    </row>
    <row r="1084" spans="14:19" ht="29.1" customHeight="1">
      <c r="N1084" s="774"/>
      <c r="O1084" s="774"/>
      <c r="P1084" s="774"/>
      <c r="Q1084" s="774"/>
      <c r="R1084" s="774"/>
      <c r="S1084" s="774"/>
    </row>
    <row r="1085" spans="14:19" ht="29.1" customHeight="1">
      <c r="N1085" s="774"/>
      <c r="O1085" s="774"/>
      <c r="P1085" s="774"/>
      <c r="Q1085" s="774"/>
      <c r="R1085" s="774"/>
      <c r="S1085" s="774"/>
    </row>
    <row r="1086" spans="14:19" ht="29.1" customHeight="1">
      <c r="N1086" s="774"/>
      <c r="O1086" s="774"/>
      <c r="P1086" s="774"/>
      <c r="Q1086" s="774"/>
      <c r="R1086" s="774"/>
      <c r="S1086" s="774"/>
    </row>
    <row r="1087" spans="14:19" ht="29.1" customHeight="1">
      <c r="N1087" s="774"/>
      <c r="O1087" s="774"/>
      <c r="P1087" s="774"/>
      <c r="Q1087" s="774"/>
      <c r="R1087" s="774"/>
      <c r="S1087" s="774"/>
    </row>
    <row r="1088" spans="14:19" ht="29.1" customHeight="1">
      <c r="N1088" s="774"/>
      <c r="O1088" s="774"/>
      <c r="P1088" s="774"/>
      <c r="Q1088" s="774"/>
      <c r="R1088" s="774"/>
      <c r="S1088" s="774"/>
    </row>
    <row r="1089" spans="14:19" ht="29.1" customHeight="1">
      <c r="N1089" s="774"/>
      <c r="O1089" s="774"/>
      <c r="P1089" s="774"/>
      <c r="Q1089" s="774"/>
      <c r="R1089" s="774"/>
      <c r="S1089" s="774"/>
    </row>
    <row r="1090" spans="14:19" ht="29.1" customHeight="1">
      <c r="N1090" s="774"/>
      <c r="O1090" s="774"/>
      <c r="P1090" s="774"/>
      <c r="Q1090" s="774"/>
      <c r="R1090" s="774"/>
      <c r="S1090" s="774"/>
    </row>
    <row r="1091" spans="14:19" ht="29.1" customHeight="1">
      <c r="N1091" s="774"/>
      <c r="O1091" s="774"/>
      <c r="P1091" s="774"/>
      <c r="Q1091" s="774"/>
      <c r="R1091" s="774"/>
      <c r="S1091" s="774"/>
    </row>
    <row r="1092" spans="14:19" ht="29.1" customHeight="1">
      <c r="N1092" s="774"/>
      <c r="O1092" s="774"/>
      <c r="P1092" s="774"/>
      <c r="Q1092" s="774"/>
      <c r="R1092" s="774"/>
      <c r="S1092" s="774"/>
    </row>
    <row r="1093" spans="14:19" ht="29.1" customHeight="1">
      <c r="N1093" s="774"/>
      <c r="O1093" s="774"/>
      <c r="P1093" s="774"/>
      <c r="Q1093" s="774"/>
      <c r="R1093" s="774"/>
      <c r="S1093" s="774"/>
    </row>
    <row r="1094" spans="14:19" ht="29.1" customHeight="1">
      <c r="N1094" s="774"/>
      <c r="O1094" s="774"/>
      <c r="P1094" s="774"/>
      <c r="Q1094" s="774"/>
      <c r="R1094" s="774"/>
      <c r="S1094" s="774"/>
    </row>
    <row r="1095" spans="14:19" ht="29.1" customHeight="1">
      <c r="N1095" s="774"/>
      <c r="O1095" s="774"/>
      <c r="P1095" s="774"/>
      <c r="Q1095" s="774"/>
      <c r="R1095" s="774"/>
      <c r="S1095" s="774"/>
    </row>
    <row r="1096" spans="14:19" ht="29.1" customHeight="1">
      <c r="N1096" s="774"/>
      <c r="O1096" s="774"/>
      <c r="P1096" s="774"/>
      <c r="Q1096" s="774"/>
      <c r="R1096" s="774"/>
      <c r="S1096" s="774"/>
    </row>
    <row r="1097" spans="14:19" ht="29.1" customHeight="1">
      <c r="N1097" s="774"/>
      <c r="O1097" s="774"/>
      <c r="P1097" s="774"/>
      <c r="Q1097" s="774"/>
      <c r="R1097" s="774"/>
      <c r="S1097" s="774"/>
    </row>
    <row r="1098" spans="14:19" ht="29.1" customHeight="1">
      <c r="N1098" s="774"/>
      <c r="O1098" s="774"/>
      <c r="P1098" s="774"/>
      <c r="Q1098" s="774"/>
      <c r="R1098" s="774"/>
      <c r="S1098" s="774"/>
    </row>
    <row r="1099" spans="14:19" ht="29.1" customHeight="1">
      <c r="N1099" s="774"/>
      <c r="O1099" s="774"/>
      <c r="P1099" s="774"/>
      <c r="Q1099" s="774"/>
      <c r="R1099" s="774"/>
      <c r="S1099" s="774"/>
    </row>
    <row r="1100" spans="14:19" ht="29.1" customHeight="1">
      <c r="N1100" s="774"/>
      <c r="O1100" s="774"/>
      <c r="P1100" s="774"/>
      <c r="Q1100" s="774"/>
      <c r="R1100" s="774"/>
      <c r="S1100" s="774"/>
    </row>
    <row r="1101" spans="14:19" ht="29.1" customHeight="1">
      <c r="N1101" s="774"/>
      <c r="O1101" s="774"/>
      <c r="P1101" s="774"/>
      <c r="Q1101" s="774"/>
      <c r="R1101" s="774"/>
      <c r="S1101" s="774"/>
    </row>
    <row r="1102" spans="14:19" ht="29.1" customHeight="1">
      <c r="N1102" s="774"/>
      <c r="O1102" s="774"/>
      <c r="P1102" s="774"/>
      <c r="Q1102" s="774"/>
      <c r="R1102" s="774"/>
      <c r="S1102" s="774"/>
    </row>
    <row r="1103" spans="14:19" ht="29.1" customHeight="1">
      <c r="N1103" s="774"/>
      <c r="O1103" s="774"/>
      <c r="P1103" s="774"/>
      <c r="Q1103" s="774"/>
      <c r="R1103" s="774"/>
      <c r="S1103" s="774"/>
    </row>
    <row r="1104" spans="14:19" ht="29.1" customHeight="1">
      <c r="N1104" s="774"/>
      <c r="O1104" s="774"/>
      <c r="P1104" s="774"/>
      <c r="Q1104" s="774"/>
      <c r="R1104" s="774"/>
      <c r="S1104" s="774"/>
    </row>
    <row r="1105" spans="14:19" ht="29.1" customHeight="1">
      <c r="N1105" s="774"/>
      <c r="O1105" s="774"/>
      <c r="P1105" s="774"/>
      <c r="Q1105" s="774"/>
      <c r="R1105" s="774"/>
      <c r="S1105" s="774"/>
    </row>
    <row r="1106" spans="14:19" ht="29.1" customHeight="1">
      <c r="N1106" s="774"/>
      <c r="O1106" s="774"/>
      <c r="P1106" s="774"/>
      <c r="Q1106" s="774"/>
      <c r="R1106" s="774"/>
      <c r="S1106" s="774"/>
    </row>
    <row r="1107" spans="14:19" ht="29.1" customHeight="1">
      <c r="N1107" s="774"/>
      <c r="O1107" s="774"/>
      <c r="P1107" s="774"/>
      <c r="Q1107" s="774"/>
      <c r="R1107" s="774"/>
      <c r="S1107" s="774"/>
    </row>
    <row r="1108" spans="14:19" ht="29.1" customHeight="1">
      <c r="N1108" s="774"/>
      <c r="O1108" s="774"/>
      <c r="P1108" s="774"/>
      <c r="Q1108" s="774"/>
      <c r="R1108" s="774"/>
      <c r="S1108" s="774"/>
    </row>
    <row r="1109" spans="14:19" ht="29.1" customHeight="1">
      <c r="N1109" s="774"/>
      <c r="O1109" s="774"/>
      <c r="P1109" s="774"/>
      <c r="Q1109" s="774"/>
      <c r="R1109" s="774"/>
      <c r="S1109" s="774"/>
    </row>
    <row r="1110" spans="14:19" ht="29.1" customHeight="1">
      <c r="N1110" s="774"/>
      <c r="O1110" s="774"/>
      <c r="P1110" s="774"/>
      <c r="Q1110" s="774"/>
      <c r="R1110" s="774"/>
      <c r="S1110" s="774"/>
    </row>
    <row r="1111" spans="14:19" ht="29.1" customHeight="1">
      <c r="N1111" s="774"/>
      <c r="O1111" s="774"/>
      <c r="P1111" s="774"/>
      <c r="Q1111" s="774"/>
      <c r="R1111" s="774"/>
      <c r="S1111" s="774"/>
    </row>
    <row r="1112" spans="14:19" ht="29.1" customHeight="1">
      <c r="N1112" s="774"/>
      <c r="O1112" s="774"/>
      <c r="P1112" s="774"/>
      <c r="Q1112" s="774"/>
      <c r="R1112" s="774"/>
      <c r="S1112" s="774"/>
    </row>
    <row r="1113" spans="14:19" ht="29.1" customHeight="1">
      <c r="N1113" s="774"/>
      <c r="O1113" s="774"/>
      <c r="P1113" s="774"/>
      <c r="Q1113" s="774"/>
      <c r="R1113" s="774"/>
      <c r="S1113" s="774"/>
    </row>
    <row r="1114" spans="14:19" ht="29.1" customHeight="1">
      <c r="N1114" s="774"/>
      <c r="O1114" s="774"/>
      <c r="P1114" s="774"/>
      <c r="Q1114" s="774"/>
      <c r="R1114" s="774"/>
      <c r="S1114" s="774"/>
    </row>
    <row r="1115" spans="14:19" ht="29.1" customHeight="1">
      <c r="N1115" s="774"/>
      <c r="O1115" s="774"/>
      <c r="P1115" s="774"/>
      <c r="Q1115" s="774"/>
      <c r="R1115" s="774"/>
      <c r="S1115" s="774"/>
    </row>
    <row r="1116" spans="14:19" ht="29.1" customHeight="1">
      <c r="N1116" s="774"/>
      <c r="O1116" s="774"/>
      <c r="P1116" s="774"/>
      <c r="Q1116" s="774"/>
      <c r="R1116" s="774"/>
      <c r="S1116" s="774"/>
    </row>
    <row r="1117" spans="14:19" ht="29.1" customHeight="1">
      <c r="N1117" s="774"/>
      <c r="O1117" s="774"/>
      <c r="P1117" s="774"/>
      <c r="Q1117" s="774"/>
      <c r="R1117" s="774"/>
      <c r="S1117" s="774"/>
    </row>
    <row r="1118" spans="14:19" ht="29.1" customHeight="1">
      <c r="N1118" s="774"/>
      <c r="O1118" s="774"/>
      <c r="P1118" s="774"/>
      <c r="Q1118" s="774"/>
      <c r="R1118" s="774"/>
      <c r="S1118" s="774"/>
    </row>
    <row r="1119" spans="14:19" ht="29.1" customHeight="1">
      <c r="N1119" s="774"/>
      <c r="O1119" s="774"/>
      <c r="P1119" s="774"/>
      <c r="Q1119" s="774"/>
      <c r="R1119" s="774"/>
      <c r="S1119" s="774"/>
    </row>
    <row r="1120" spans="14:19" ht="29.1" customHeight="1">
      <c r="N1120" s="774"/>
      <c r="O1120" s="774"/>
      <c r="P1120" s="774"/>
      <c r="Q1120" s="774"/>
      <c r="R1120" s="774"/>
      <c r="S1120" s="774"/>
    </row>
    <row r="1121" spans="14:19" ht="29.1" customHeight="1">
      <c r="N1121" s="774"/>
      <c r="O1121" s="774"/>
      <c r="P1121" s="774"/>
      <c r="Q1121" s="774"/>
      <c r="R1121" s="774"/>
      <c r="S1121" s="774"/>
    </row>
    <row r="1122" spans="14:19" ht="29.1" customHeight="1">
      <c r="N1122" s="774"/>
      <c r="O1122" s="774"/>
      <c r="P1122" s="774"/>
      <c r="Q1122" s="774"/>
      <c r="R1122" s="774"/>
      <c r="S1122" s="774"/>
    </row>
    <row r="1123" spans="14:19" ht="29.1" customHeight="1">
      <c r="N1123" s="774"/>
      <c r="O1123" s="774"/>
      <c r="P1123" s="774"/>
      <c r="Q1123" s="774"/>
      <c r="R1123" s="774"/>
      <c r="S1123" s="774"/>
    </row>
    <row r="1124" spans="14:19" ht="29.1" customHeight="1">
      <c r="N1124" s="774"/>
      <c r="O1124" s="774"/>
      <c r="P1124" s="774"/>
      <c r="Q1124" s="774"/>
      <c r="R1124" s="774"/>
      <c r="S1124" s="774"/>
    </row>
    <row r="1125" spans="14:19" ht="29.1" customHeight="1">
      <c r="N1125" s="774"/>
      <c r="O1125" s="774"/>
      <c r="P1125" s="774"/>
      <c r="Q1125" s="774"/>
      <c r="R1125" s="774"/>
      <c r="S1125" s="774"/>
    </row>
    <row r="1126" spans="14:19" ht="29.1" customHeight="1">
      <c r="N1126" s="774"/>
      <c r="O1126" s="774"/>
      <c r="P1126" s="774"/>
      <c r="Q1126" s="774"/>
      <c r="R1126" s="774"/>
      <c r="S1126" s="774"/>
    </row>
    <row r="1127" spans="14:19" ht="29.1" customHeight="1">
      <c r="N1127" s="774"/>
      <c r="O1127" s="774"/>
      <c r="P1127" s="774"/>
      <c r="Q1127" s="774"/>
      <c r="R1127" s="774"/>
      <c r="S1127" s="774"/>
    </row>
    <row r="1128" spans="14:19" ht="29.1" customHeight="1">
      <c r="N1128" s="774"/>
      <c r="O1128" s="774"/>
      <c r="P1128" s="774"/>
      <c r="Q1128" s="774"/>
      <c r="R1128" s="774"/>
      <c r="S1128" s="774"/>
    </row>
    <row r="1129" spans="14:19" ht="29.1" customHeight="1">
      <c r="N1129" s="774"/>
      <c r="O1129" s="774"/>
      <c r="P1129" s="774"/>
      <c r="Q1129" s="774"/>
      <c r="R1129" s="774"/>
      <c r="S1129" s="774"/>
    </row>
    <row r="1130" spans="14:19" ht="29.1" customHeight="1">
      <c r="N1130" s="774"/>
      <c r="O1130" s="774"/>
      <c r="P1130" s="774"/>
      <c r="Q1130" s="774"/>
      <c r="R1130" s="774"/>
      <c r="S1130" s="774"/>
    </row>
    <row r="1131" spans="14:19" ht="29.1" customHeight="1">
      <c r="N1131" s="774"/>
      <c r="O1131" s="774"/>
      <c r="P1131" s="774"/>
      <c r="Q1131" s="774"/>
      <c r="R1131" s="774"/>
      <c r="S1131" s="774"/>
    </row>
    <row r="1132" spans="14:19" ht="29.1" customHeight="1">
      <c r="N1132" s="774"/>
      <c r="O1132" s="774"/>
      <c r="P1132" s="774"/>
      <c r="Q1132" s="774"/>
      <c r="R1132" s="774"/>
      <c r="S1132" s="774"/>
    </row>
    <row r="1133" spans="14:19" ht="29.1" customHeight="1">
      <c r="N1133" s="774"/>
      <c r="O1133" s="774"/>
      <c r="P1133" s="774"/>
      <c r="Q1133" s="774"/>
      <c r="R1133" s="774"/>
      <c r="S1133" s="774"/>
    </row>
    <row r="1134" spans="14:19" ht="29.1" customHeight="1">
      <c r="N1134" s="774"/>
      <c r="O1134" s="774"/>
      <c r="P1134" s="774"/>
      <c r="Q1134" s="774"/>
      <c r="R1134" s="774"/>
      <c r="S1134" s="774"/>
    </row>
    <row r="1135" spans="14:19" ht="29.1" customHeight="1">
      <c r="N1135" s="774"/>
      <c r="O1135" s="774"/>
      <c r="P1135" s="774"/>
      <c r="Q1135" s="774"/>
      <c r="R1135" s="774"/>
      <c r="S1135" s="774"/>
    </row>
    <row r="1136" spans="14:19" ht="29.1" customHeight="1">
      <c r="N1136" s="774"/>
      <c r="O1136" s="774"/>
      <c r="P1136" s="774"/>
      <c r="Q1136" s="774"/>
      <c r="R1136" s="774"/>
      <c r="S1136" s="774"/>
    </row>
    <row r="1137" spans="14:19" ht="29.1" customHeight="1">
      <c r="N1137" s="774"/>
      <c r="O1137" s="774"/>
      <c r="P1137" s="774"/>
      <c r="Q1137" s="774"/>
      <c r="R1137" s="774"/>
      <c r="S1137" s="774"/>
    </row>
    <row r="1138" spans="14:19" ht="29.1" customHeight="1">
      <c r="N1138" s="774"/>
      <c r="O1138" s="774"/>
      <c r="P1138" s="774"/>
      <c r="Q1138" s="774"/>
      <c r="R1138" s="774"/>
      <c r="S1138" s="774"/>
    </row>
    <row r="1139" spans="14:19" ht="29.1" customHeight="1">
      <c r="N1139" s="774"/>
      <c r="O1139" s="774"/>
      <c r="P1139" s="774"/>
      <c r="Q1139" s="774"/>
      <c r="R1139" s="774"/>
      <c r="S1139" s="774"/>
    </row>
    <row r="1140" spans="14:19" ht="29.1" customHeight="1">
      <c r="N1140" s="774"/>
      <c r="O1140" s="774"/>
      <c r="P1140" s="774"/>
      <c r="Q1140" s="774"/>
      <c r="R1140" s="774"/>
      <c r="S1140" s="774"/>
    </row>
    <row r="1141" spans="14:19" ht="29.1" customHeight="1">
      <c r="N1141" s="774"/>
      <c r="O1141" s="774"/>
      <c r="P1141" s="774"/>
      <c r="Q1141" s="774"/>
      <c r="R1141" s="774"/>
      <c r="S1141" s="774"/>
    </row>
    <row r="1142" spans="14:19" ht="29.1" customHeight="1">
      <c r="N1142" s="774"/>
      <c r="O1142" s="774"/>
      <c r="P1142" s="774"/>
      <c r="Q1142" s="774"/>
      <c r="R1142" s="774"/>
      <c r="S1142" s="774"/>
    </row>
    <row r="1143" spans="14:19" ht="29.1" customHeight="1">
      <c r="N1143" s="774"/>
      <c r="O1143" s="774"/>
      <c r="P1143" s="774"/>
      <c r="Q1143" s="774"/>
      <c r="R1143" s="774"/>
      <c r="S1143" s="774"/>
    </row>
    <row r="1144" spans="14:19" ht="29.1" customHeight="1">
      <c r="N1144" s="774"/>
      <c r="O1144" s="774"/>
      <c r="P1144" s="774"/>
      <c r="Q1144" s="774"/>
      <c r="R1144" s="774"/>
      <c r="S1144" s="774"/>
    </row>
    <row r="1145" spans="14:19" ht="29.1" customHeight="1">
      <c r="N1145" s="774"/>
      <c r="O1145" s="774"/>
      <c r="P1145" s="774"/>
      <c r="Q1145" s="774"/>
      <c r="R1145" s="774"/>
      <c r="S1145" s="774"/>
    </row>
    <row r="1146" spans="14:19" ht="29.1" customHeight="1">
      <c r="N1146" s="774"/>
      <c r="O1146" s="774"/>
      <c r="P1146" s="774"/>
      <c r="Q1146" s="774"/>
      <c r="R1146" s="774"/>
      <c r="S1146" s="774"/>
    </row>
    <row r="1147" spans="14:19" ht="29.1" customHeight="1">
      <c r="N1147" s="774"/>
      <c r="O1147" s="774"/>
      <c r="P1147" s="774"/>
      <c r="Q1147" s="774"/>
      <c r="R1147" s="774"/>
      <c r="S1147" s="774"/>
    </row>
    <row r="1148" spans="14:19" ht="29.1" customHeight="1">
      <c r="N1148" s="774"/>
      <c r="O1148" s="774"/>
      <c r="P1148" s="774"/>
      <c r="Q1148" s="774"/>
      <c r="R1148" s="774"/>
      <c r="S1148" s="774"/>
    </row>
    <row r="1149" spans="14:19" ht="29.1" customHeight="1">
      <c r="N1149" s="774"/>
      <c r="O1149" s="774"/>
      <c r="P1149" s="774"/>
      <c r="Q1149" s="774"/>
      <c r="R1149" s="774"/>
      <c r="S1149" s="774"/>
    </row>
    <row r="1150" spans="14:19" ht="29.1" customHeight="1">
      <c r="N1150" s="774"/>
      <c r="O1150" s="774"/>
      <c r="P1150" s="774"/>
      <c r="Q1150" s="774"/>
      <c r="R1150" s="774"/>
      <c r="S1150" s="774"/>
    </row>
    <row r="1151" spans="14:19" ht="29.1" customHeight="1">
      <c r="N1151" s="774"/>
      <c r="O1151" s="774"/>
      <c r="P1151" s="774"/>
      <c r="Q1151" s="774"/>
      <c r="R1151" s="774"/>
      <c r="S1151" s="774"/>
    </row>
    <row r="1152" spans="14:19" ht="29.1" customHeight="1">
      <c r="N1152" s="774"/>
      <c r="O1152" s="774"/>
      <c r="P1152" s="774"/>
      <c r="Q1152" s="774"/>
      <c r="R1152" s="774"/>
      <c r="S1152" s="774"/>
    </row>
    <row r="1153" spans="14:19" ht="29.1" customHeight="1">
      <c r="N1153" s="774"/>
      <c r="O1153" s="774"/>
      <c r="P1153" s="774"/>
      <c r="Q1153" s="774"/>
      <c r="R1153" s="774"/>
      <c r="S1153" s="774"/>
    </row>
    <row r="1154" spans="14:19" ht="29.1" customHeight="1">
      <c r="N1154" s="774"/>
      <c r="O1154" s="774"/>
      <c r="P1154" s="774"/>
      <c r="Q1154" s="774"/>
      <c r="R1154" s="774"/>
      <c r="S1154" s="774"/>
    </row>
    <row r="1155" spans="14:19" ht="29.1" customHeight="1">
      <c r="N1155" s="774"/>
      <c r="O1155" s="774"/>
      <c r="P1155" s="774"/>
      <c r="Q1155" s="774"/>
      <c r="R1155" s="774"/>
      <c r="S1155" s="774"/>
    </row>
    <row r="1156" spans="14:19" ht="29.1" customHeight="1">
      <c r="N1156" s="774"/>
      <c r="O1156" s="774"/>
      <c r="P1156" s="774"/>
      <c r="Q1156" s="774"/>
      <c r="R1156" s="774"/>
      <c r="S1156" s="774"/>
    </row>
    <row r="1157" spans="14:19" ht="29.1" customHeight="1">
      <c r="N1157" s="774"/>
      <c r="O1157" s="774"/>
      <c r="P1157" s="774"/>
      <c r="Q1157" s="774"/>
      <c r="R1157" s="774"/>
      <c r="S1157" s="774"/>
    </row>
    <row r="1158" spans="14:19" ht="29.1" customHeight="1">
      <c r="N1158" s="774"/>
      <c r="O1158" s="774"/>
      <c r="P1158" s="774"/>
      <c r="Q1158" s="774"/>
      <c r="R1158" s="774"/>
      <c r="S1158" s="774"/>
    </row>
    <row r="1159" spans="14:19" ht="29.1" customHeight="1">
      <c r="N1159" s="774"/>
      <c r="O1159" s="774"/>
      <c r="P1159" s="774"/>
      <c r="Q1159" s="774"/>
      <c r="R1159" s="774"/>
      <c r="S1159" s="774"/>
    </row>
    <row r="1160" spans="14:19" ht="29.1" customHeight="1">
      <c r="N1160" s="774"/>
      <c r="O1160" s="774"/>
      <c r="P1160" s="774"/>
      <c r="Q1160" s="774"/>
      <c r="R1160" s="774"/>
      <c r="S1160" s="774"/>
    </row>
    <row r="1161" spans="14:19" ht="29.1" customHeight="1">
      <c r="N1161" s="774"/>
      <c r="O1161" s="774"/>
      <c r="P1161" s="774"/>
      <c r="Q1161" s="774"/>
      <c r="R1161" s="774"/>
      <c r="S1161" s="774"/>
    </row>
    <row r="1162" spans="14:19" ht="29.1" customHeight="1">
      <c r="N1162" s="774"/>
      <c r="O1162" s="774"/>
      <c r="P1162" s="774"/>
      <c r="Q1162" s="774"/>
      <c r="R1162" s="774"/>
      <c r="S1162" s="774"/>
    </row>
    <row r="1163" spans="14:19" ht="29.1" customHeight="1">
      <c r="N1163" s="774"/>
      <c r="O1163" s="774"/>
      <c r="P1163" s="774"/>
      <c r="Q1163" s="774"/>
      <c r="R1163" s="774"/>
      <c r="S1163" s="774"/>
    </row>
    <row r="1164" spans="14:19" ht="29.1" customHeight="1">
      <c r="N1164" s="774"/>
      <c r="O1164" s="774"/>
      <c r="P1164" s="774"/>
      <c r="Q1164" s="774"/>
      <c r="R1164" s="774"/>
      <c r="S1164" s="774"/>
    </row>
    <row r="1165" spans="14:19" ht="29.1" customHeight="1">
      <c r="N1165" s="774"/>
      <c r="O1165" s="774"/>
      <c r="P1165" s="774"/>
      <c r="Q1165" s="774"/>
      <c r="R1165" s="774"/>
      <c r="S1165" s="774"/>
    </row>
    <row r="1166" spans="14:19" ht="29.1" customHeight="1">
      <c r="N1166" s="774"/>
      <c r="O1166" s="774"/>
      <c r="P1166" s="774"/>
      <c r="Q1166" s="774"/>
      <c r="R1166" s="774"/>
      <c r="S1166" s="774"/>
    </row>
    <row r="1167" spans="14:19" ht="29.1" customHeight="1">
      <c r="N1167" s="774"/>
      <c r="O1167" s="774"/>
      <c r="P1167" s="774"/>
      <c r="Q1167" s="774"/>
      <c r="R1167" s="774"/>
      <c r="S1167" s="774"/>
    </row>
    <row r="1168" spans="14:19" ht="29.1" customHeight="1">
      <c r="N1168" s="774"/>
      <c r="O1168" s="774"/>
      <c r="P1168" s="774"/>
      <c r="Q1168" s="774"/>
      <c r="R1168" s="774"/>
      <c r="S1168" s="774"/>
    </row>
    <row r="1169" spans="14:19" ht="29.1" customHeight="1">
      <c r="N1169" s="774"/>
      <c r="O1169" s="774"/>
      <c r="P1169" s="774"/>
      <c r="Q1169" s="774"/>
      <c r="R1169" s="774"/>
      <c r="S1169" s="774"/>
    </row>
    <row r="1170" spans="14:19" ht="29.1" customHeight="1">
      <c r="N1170" s="774"/>
      <c r="O1170" s="774"/>
      <c r="P1170" s="774"/>
      <c r="Q1170" s="774"/>
      <c r="R1170" s="774"/>
      <c r="S1170" s="774"/>
    </row>
    <row r="1171" spans="14:19" ht="29.1" customHeight="1">
      <c r="N1171" s="774"/>
      <c r="O1171" s="774"/>
      <c r="P1171" s="774"/>
      <c r="Q1171" s="774"/>
      <c r="R1171" s="774"/>
      <c r="S1171" s="774"/>
    </row>
    <row r="1172" spans="14:19" ht="29.1" customHeight="1">
      <c r="N1172" s="774"/>
      <c r="O1172" s="774"/>
      <c r="P1172" s="774"/>
      <c r="Q1172" s="774"/>
      <c r="R1172" s="774"/>
      <c r="S1172" s="774"/>
    </row>
    <row r="1173" spans="14:19" ht="29.1" customHeight="1">
      <c r="N1173" s="774"/>
      <c r="O1173" s="774"/>
      <c r="P1173" s="774"/>
      <c r="Q1173" s="774"/>
      <c r="R1173" s="774"/>
      <c r="S1173" s="774"/>
    </row>
    <row r="1174" spans="14:19" ht="29.1" customHeight="1">
      <c r="N1174" s="774"/>
      <c r="O1174" s="774"/>
      <c r="P1174" s="774"/>
      <c r="Q1174" s="774"/>
      <c r="R1174" s="774"/>
      <c r="S1174" s="774"/>
    </row>
    <row r="1175" spans="14:19" ht="29.1" customHeight="1">
      <c r="N1175" s="774"/>
      <c r="O1175" s="774"/>
      <c r="P1175" s="774"/>
      <c r="Q1175" s="774"/>
      <c r="R1175" s="774"/>
      <c r="S1175" s="774"/>
    </row>
    <row r="1176" spans="14:19" ht="29.1" customHeight="1">
      <c r="N1176" s="774"/>
      <c r="O1176" s="774"/>
      <c r="P1176" s="774"/>
      <c r="Q1176" s="774"/>
      <c r="R1176" s="774"/>
      <c r="S1176" s="774"/>
    </row>
    <row r="1177" spans="14:19" ht="29.1" customHeight="1">
      <c r="N1177" s="774"/>
      <c r="O1177" s="774"/>
      <c r="P1177" s="774"/>
      <c r="Q1177" s="774"/>
      <c r="R1177" s="774"/>
      <c r="S1177" s="774"/>
    </row>
    <row r="1178" spans="14:19" ht="29.1" customHeight="1">
      <c r="N1178" s="774"/>
      <c r="O1178" s="774"/>
      <c r="P1178" s="774"/>
      <c r="Q1178" s="774"/>
      <c r="R1178" s="774"/>
      <c r="S1178" s="774"/>
    </row>
    <row r="1179" spans="14:19" ht="29.1" customHeight="1">
      <c r="N1179" s="774"/>
      <c r="O1179" s="774"/>
      <c r="P1179" s="774"/>
      <c r="Q1179" s="774"/>
      <c r="R1179" s="774"/>
      <c r="S1179" s="774"/>
    </row>
    <row r="1180" spans="14:19" ht="29.1" customHeight="1">
      <c r="N1180" s="774"/>
      <c r="O1180" s="774"/>
      <c r="P1180" s="774"/>
      <c r="Q1180" s="774"/>
      <c r="R1180" s="774"/>
      <c r="S1180" s="774"/>
    </row>
    <row r="1181" spans="14:19" ht="29.1" customHeight="1">
      <c r="N1181" s="774"/>
      <c r="O1181" s="774"/>
      <c r="P1181" s="774"/>
      <c r="Q1181" s="774"/>
      <c r="R1181" s="774"/>
      <c r="S1181" s="774"/>
    </row>
    <row r="1182" spans="14:19" ht="29.1" customHeight="1">
      <c r="N1182" s="774"/>
      <c r="O1182" s="774"/>
      <c r="P1182" s="774"/>
      <c r="Q1182" s="774"/>
      <c r="R1182" s="774"/>
      <c r="S1182" s="774"/>
    </row>
    <row r="1183" spans="14:19" ht="29.1" customHeight="1">
      <c r="N1183" s="774"/>
      <c r="O1183" s="774"/>
      <c r="P1183" s="774"/>
      <c r="Q1183" s="774"/>
      <c r="R1183" s="774"/>
      <c r="S1183" s="774"/>
    </row>
    <row r="1184" spans="14:19" ht="29.1" customHeight="1">
      <c r="N1184" s="774"/>
      <c r="O1184" s="774"/>
      <c r="P1184" s="774"/>
      <c r="Q1184" s="774"/>
      <c r="R1184" s="774"/>
      <c r="S1184" s="774"/>
    </row>
    <row r="1185" spans="14:19" ht="29.1" customHeight="1">
      <c r="N1185" s="774"/>
      <c r="O1185" s="774"/>
      <c r="P1185" s="774"/>
      <c r="Q1185" s="774"/>
      <c r="R1185" s="774"/>
      <c r="S1185" s="774"/>
    </row>
    <row r="1186" spans="14:19" ht="29.1" customHeight="1">
      <c r="N1186" s="774"/>
      <c r="O1186" s="774"/>
      <c r="P1186" s="774"/>
      <c r="Q1186" s="774"/>
      <c r="R1186" s="774"/>
      <c r="S1186" s="774"/>
    </row>
    <row r="1187" spans="14:19" ht="29.1" customHeight="1">
      <c r="N1187" s="774"/>
      <c r="O1187" s="774"/>
      <c r="P1187" s="774"/>
      <c r="Q1187" s="774"/>
      <c r="R1187" s="774"/>
      <c r="S1187" s="774"/>
    </row>
    <row r="1188" spans="14:19" ht="29.1" customHeight="1">
      <c r="N1188" s="774"/>
      <c r="O1188" s="774"/>
      <c r="P1188" s="774"/>
      <c r="Q1188" s="774"/>
      <c r="R1188" s="774"/>
      <c r="S1188" s="774"/>
    </row>
    <row r="1189" spans="14:19" ht="29.1" customHeight="1">
      <c r="N1189" s="774"/>
      <c r="O1189" s="774"/>
      <c r="P1189" s="774"/>
      <c r="Q1189" s="774"/>
      <c r="R1189" s="774"/>
      <c r="S1189" s="774"/>
    </row>
    <row r="1190" spans="14:19" ht="29.1" customHeight="1">
      <c r="N1190" s="774"/>
      <c r="O1190" s="774"/>
      <c r="P1190" s="774"/>
      <c r="Q1190" s="774"/>
      <c r="R1190" s="774"/>
      <c r="S1190" s="774"/>
    </row>
    <row r="1191" spans="14:19" ht="29.1" customHeight="1">
      <c r="N1191" s="774"/>
      <c r="O1191" s="774"/>
      <c r="P1191" s="774"/>
      <c r="Q1191" s="774"/>
      <c r="R1191" s="774"/>
      <c r="S1191" s="774"/>
    </row>
    <row r="1192" spans="14:19" ht="29.1" customHeight="1">
      <c r="N1192" s="774"/>
      <c r="O1192" s="774"/>
      <c r="P1192" s="774"/>
      <c r="Q1192" s="774"/>
      <c r="R1192" s="774"/>
      <c r="S1192" s="774"/>
    </row>
    <row r="1193" spans="14:19" ht="29.1" customHeight="1">
      <c r="N1193" s="774"/>
      <c r="O1193" s="774"/>
      <c r="P1193" s="774"/>
      <c r="Q1193" s="774"/>
      <c r="R1193" s="774"/>
      <c r="S1193" s="774"/>
    </row>
    <row r="1194" spans="14:19" ht="29.1" customHeight="1">
      <c r="N1194" s="774"/>
      <c r="O1194" s="774"/>
      <c r="P1194" s="774"/>
      <c r="Q1194" s="774"/>
      <c r="R1194" s="774"/>
      <c r="S1194" s="774"/>
    </row>
    <row r="1195" spans="14:19" ht="29.1" customHeight="1">
      <c r="N1195" s="774"/>
      <c r="O1195" s="774"/>
      <c r="P1195" s="774"/>
      <c r="Q1195" s="774"/>
      <c r="R1195" s="774"/>
      <c r="S1195" s="774"/>
    </row>
    <row r="1196" spans="14:19" ht="29.1" customHeight="1">
      <c r="N1196" s="774"/>
      <c r="O1196" s="774"/>
      <c r="P1196" s="774"/>
      <c r="Q1196" s="774"/>
      <c r="R1196" s="774"/>
      <c r="S1196" s="774"/>
    </row>
    <row r="1197" spans="14:19" ht="29.1" customHeight="1">
      <c r="N1197" s="774"/>
      <c r="O1197" s="774"/>
      <c r="P1197" s="774"/>
      <c r="Q1197" s="774"/>
      <c r="R1197" s="774"/>
      <c r="S1197" s="774"/>
    </row>
    <row r="1198" spans="14:19" ht="29.1" customHeight="1">
      <c r="N1198" s="774"/>
      <c r="O1198" s="774"/>
      <c r="P1198" s="774"/>
      <c r="Q1198" s="774"/>
      <c r="R1198" s="774"/>
      <c r="S1198" s="774"/>
    </row>
    <row r="1199" spans="14:19" ht="29.1" customHeight="1">
      <c r="N1199" s="774"/>
      <c r="O1199" s="774"/>
      <c r="P1199" s="774"/>
      <c r="Q1199" s="774"/>
      <c r="R1199" s="774"/>
      <c r="S1199" s="774"/>
    </row>
    <row r="1200" spans="14:19" ht="29.1" customHeight="1">
      <c r="N1200" s="774"/>
      <c r="O1200" s="774"/>
      <c r="P1200" s="774"/>
      <c r="Q1200" s="774"/>
      <c r="R1200" s="774"/>
      <c r="S1200" s="774"/>
    </row>
    <row r="1201" spans="14:19" ht="29.1" customHeight="1">
      <c r="N1201" s="774"/>
      <c r="O1201" s="774"/>
      <c r="P1201" s="774"/>
      <c r="Q1201" s="774"/>
      <c r="R1201" s="774"/>
      <c r="S1201" s="774"/>
    </row>
    <row r="1202" spans="14:19" ht="29.1" customHeight="1">
      <c r="N1202" s="774"/>
      <c r="O1202" s="774"/>
      <c r="P1202" s="774"/>
      <c r="Q1202" s="774"/>
      <c r="R1202" s="774"/>
      <c r="S1202" s="774"/>
    </row>
    <row r="1203" spans="14:19" ht="29.1" customHeight="1">
      <c r="N1203" s="774"/>
      <c r="O1203" s="774"/>
      <c r="P1203" s="774"/>
      <c r="Q1203" s="774"/>
      <c r="R1203" s="774"/>
      <c r="S1203" s="774"/>
    </row>
    <row r="1204" spans="14:19" ht="29.1" customHeight="1">
      <c r="N1204" s="774"/>
      <c r="O1204" s="774"/>
      <c r="P1204" s="774"/>
      <c r="Q1204" s="774"/>
      <c r="R1204" s="774"/>
      <c r="S1204" s="774"/>
    </row>
    <row r="1205" spans="14:19" ht="29.1" customHeight="1">
      <c r="N1205" s="774"/>
      <c r="O1205" s="774"/>
      <c r="P1205" s="774"/>
      <c r="Q1205" s="774"/>
      <c r="R1205" s="774"/>
      <c r="S1205" s="774"/>
    </row>
    <row r="1206" spans="14:19" ht="29.1" customHeight="1">
      <c r="N1206" s="774"/>
      <c r="O1206" s="774"/>
      <c r="P1206" s="774"/>
      <c r="Q1206" s="774"/>
      <c r="R1206" s="774"/>
      <c r="S1206" s="774"/>
    </row>
    <row r="1207" spans="14:19" ht="29.1" customHeight="1">
      <c r="N1207" s="774"/>
      <c r="O1207" s="774"/>
      <c r="P1207" s="774"/>
      <c r="Q1207" s="774"/>
      <c r="R1207" s="774"/>
      <c r="S1207" s="774"/>
    </row>
    <row r="1208" spans="14:19" ht="29.1" customHeight="1">
      <c r="N1208" s="774"/>
      <c r="O1208" s="774"/>
      <c r="P1208" s="774"/>
      <c r="Q1208" s="774"/>
      <c r="R1208" s="774"/>
      <c r="S1208" s="774"/>
    </row>
    <row r="1209" spans="14:19" ht="29.1" customHeight="1">
      <c r="N1209" s="774"/>
      <c r="O1209" s="774"/>
      <c r="P1209" s="774"/>
      <c r="Q1209" s="774"/>
      <c r="R1209" s="774"/>
      <c r="S1209" s="774"/>
    </row>
    <row r="1210" spans="14:19" ht="29.1" customHeight="1">
      <c r="N1210" s="774"/>
      <c r="O1210" s="774"/>
      <c r="P1210" s="774"/>
      <c r="Q1210" s="774"/>
      <c r="R1210" s="774"/>
      <c r="S1210" s="774"/>
    </row>
    <row r="1211" spans="14:19" ht="29.1" customHeight="1">
      <c r="N1211" s="774"/>
      <c r="O1211" s="774"/>
      <c r="P1211" s="774"/>
      <c r="Q1211" s="774"/>
      <c r="R1211" s="774"/>
      <c r="S1211" s="774"/>
    </row>
    <row r="1212" spans="14:19" ht="29.1" customHeight="1">
      <c r="N1212" s="774"/>
      <c r="O1212" s="774"/>
      <c r="P1212" s="774"/>
      <c r="Q1212" s="774"/>
      <c r="R1212" s="774"/>
      <c r="S1212" s="774"/>
    </row>
    <row r="1213" spans="14:19" ht="29.1" customHeight="1">
      <c r="N1213" s="774"/>
      <c r="O1213" s="774"/>
      <c r="P1213" s="774"/>
      <c r="Q1213" s="774"/>
      <c r="R1213" s="774"/>
      <c r="S1213" s="774"/>
    </row>
    <row r="1214" spans="14:19" ht="29.1" customHeight="1">
      <c r="N1214" s="774"/>
      <c r="O1214" s="774"/>
      <c r="P1214" s="774"/>
      <c r="Q1214" s="774"/>
      <c r="R1214" s="774"/>
      <c r="S1214" s="774"/>
    </row>
    <row r="1215" spans="14:19" ht="29.1" customHeight="1">
      <c r="N1215" s="774"/>
      <c r="O1215" s="774"/>
      <c r="P1215" s="774"/>
      <c r="Q1215" s="774"/>
      <c r="R1215" s="774"/>
      <c r="S1215" s="774"/>
    </row>
    <row r="1216" spans="14:19" ht="29.1" customHeight="1">
      <c r="N1216" s="774"/>
      <c r="O1216" s="774"/>
      <c r="P1216" s="774"/>
      <c r="Q1216" s="774"/>
      <c r="R1216" s="774"/>
      <c r="S1216" s="774"/>
    </row>
    <row r="1217" spans="14:19" ht="29.1" customHeight="1">
      <c r="N1217" s="774"/>
      <c r="O1217" s="774"/>
      <c r="P1217" s="774"/>
      <c r="Q1217" s="774"/>
      <c r="R1217" s="774"/>
      <c r="S1217" s="774"/>
    </row>
    <row r="1218" spans="14:19" ht="29.1" customHeight="1">
      <c r="N1218" s="774"/>
      <c r="O1218" s="774"/>
      <c r="P1218" s="774"/>
      <c r="Q1218" s="774"/>
      <c r="R1218" s="774"/>
      <c r="S1218" s="774"/>
    </row>
    <row r="1219" spans="14:19" ht="29.1" customHeight="1">
      <c r="N1219" s="774"/>
      <c r="O1219" s="774"/>
      <c r="P1219" s="774"/>
      <c r="Q1219" s="774"/>
      <c r="R1219" s="774"/>
      <c r="S1219" s="774"/>
    </row>
    <row r="1220" spans="14:19" ht="29.1" customHeight="1">
      <c r="N1220" s="774"/>
      <c r="O1220" s="774"/>
      <c r="P1220" s="774"/>
      <c r="Q1220" s="774"/>
      <c r="R1220" s="774"/>
      <c r="S1220" s="774"/>
    </row>
    <row r="1221" spans="14:19" ht="29.1" customHeight="1">
      <c r="N1221" s="774"/>
      <c r="O1221" s="774"/>
      <c r="P1221" s="774"/>
      <c r="Q1221" s="774"/>
      <c r="R1221" s="774"/>
      <c r="S1221" s="774"/>
    </row>
    <row r="1222" spans="14:19" ht="29.1" customHeight="1">
      <c r="N1222" s="774"/>
      <c r="O1222" s="774"/>
      <c r="P1222" s="774"/>
      <c r="Q1222" s="774"/>
      <c r="R1222" s="774"/>
      <c r="S1222" s="774"/>
    </row>
    <row r="1223" spans="14:19" ht="29.1" customHeight="1">
      <c r="N1223" s="774"/>
      <c r="O1223" s="774"/>
      <c r="P1223" s="774"/>
      <c r="Q1223" s="774"/>
      <c r="R1223" s="774"/>
      <c r="S1223" s="774"/>
    </row>
    <row r="1224" spans="14:19" ht="29.1" customHeight="1">
      <c r="N1224" s="774"/>
      <c r="O1224" s="774"/>
      <c r="P1224" s="774"/>
      <c r="Q1224" s="774"/>
      <c r="R1224" s="774"/>
      <c r="S1224" s="774"/>
    </row>
    <row r="1225" spans="14:19" ht="29.1" customHeight="1">
      <c r="N1225" s="774"/>
      <c r="O1225" s="774"/>
      <c r="P1225" s="774"/>
      <c r="Q1225" s="774"/>
      <c r="R1225" s="774"/>
      <c r="S1225" s="774"/>
    </row>
    <row r="1226" spans="14:19" ht="29.1" customHeight="1">
      <c r="N1226" s="774"/>
      <c r="O1226" s="774"/>
      <c r="P1226" s="774"/>
      <c r="Q1226" s="774"/>
      <c r="R1226" s="774"/>
      <c r="S1226" s="774"/>
    </row>
    <row r="1227" spans="14:19" ht="29.1" customHeight="1">
      <c r="N1227" s="774"/>
      <c r="O1227" s="774"/>
      <c r="P1227" s="774"/>
      <c r="Q1227" s="774"/>
      <c r="R1227" s="774"/>
      <c r="S1227" s="774"/>
    </row>
    <row r="1228" spans="14:19" ht="29.1" customHeight="1">
      <c r="N1228" s="774"/>
      <c r="O1228" s="774"/>
      <c r="P1228" s="774"/>
      <c r="Q1228" s="774"/>
      <c r="R1228" s="774"/>
      <c r="S1228" s="774"/>
    </row>
    <row r="1229" spans="14:19" ht="29.1" customHeight="1">
      <c r="N1229" s="774"/>
      <c r="O1229" s="774"/>
      <c r="P1229" s="774"/>
      <c r="Q1229" s="774"/>
      <c r="R1229" s="774"/>
      <c r="S1229" s="774"/>
    </row>
    <row r="1230" spans="14:19" ht="29.1" customHeight="1">
      <c r="N1230" s="774"/>
      <c r="O1230" s="774"/>
      <c r="P1230" s="774"/>
      <c r="Q1230" s="774"/>
      <c r="R1230" s="774"/>
      <c r="S1230" s="774"/>
    </row>
    <row r="1231" spans="14:19" ht="29.1" customHeight="1">
      <c r="N1231" s="774"/>
      <c r="O1231" s="774"/>
      <c r="P1231" s="774"/>
      <c r="Q1231" s="774"/>
      <c r="R1231" s="774"/>
      <c r="S1231" s="774"/>
    </row>
    <row r="1232" spans="14:19" ht="29.1" customHeight="1">
      <c r="N1232" s="774"/>
      <c r="O1232" s="774"/>
      <c r="P1232" s="774"/>
      <c r="Q1232" s="774"/>
      <c r="R1232" s="774"/>
      <c r="S1232" s="774"/>
    </row>
    <row r="1233" spans="14:19" ht="29.1" customHeight="1">
      <c r="N1233" s="774"/>
      <c r="O1233" s="774"/>
      <c r="P1233" s="774"/>
      <c r="Q1233" s="774"/>
      <c r="R1233" s="774"/>
      <c r="S1233" s="774"/>
    </row>
    <row r="1234" spans="14:19" ht="29.1" customHeight="1">
      <c r="N1234" s="774"/>
      <c r="O1234" s="774"/>
      <c r="P1234" s="774"/>
      <c r="Q1234" s="774"/>
      <c r="R1234" s="774"/>
      <c r="S1234" s="774"/>
    </row>
    <row r="1235" spans="14:19" ht="29.1" customHeight="1">
      <c r="N1235" s="774"/>
      <c r="O1235" s="774"/>
      <c r="P1235" s="774"/>
      <c r="Q1235" s="774"/>
      <c r="R1235" s="774"/>
      <c r="S1235" s="774"/>
    </row>
    <row r="1236" spans="14:19" ht="29.1" customHeight="1">
      <c r="N1236" s="774"/>
      <c r="O1236" s="774"/>
      <c r="P1236" s="774"/>
      <c r="Q1236" s="774"/>
      <c r="R1236" s="774"/>
      <c r="S1236" s="774"/>
    </row>
    <row r="1237" spans="14:19" ht="29.1" customHeight="1">
      <c r="N1237" s="774"/>
      <c r="O1237" s="774"/>
      <c r="P1237" s="774"/>
      <c r="Q1237" s="774"/>
      <c r="R1237" s="774"/>
      <c r="S1237" s="774"/>
    </row>
    <row r="1238" spans="14:19" ht="29.1" customHeight="1">
      <c r="N1238" s="774"/>
      <c r="O1238" s="774"/>
      <c r="P1238" s="774"/>
      <c r="Q1238" s="774"/>
      <c r="R1238" s="774"/>
      <c r="S1238" s="774"/>
    </row>
    <row r="1239" spans="14:19" ht="29.1" customHeight="1">
      <c r="N1239" s="774"/>
      <c r="O1239" s="774"/>
      <c r="P1239" s="774"/>
      <c r="Q1239" s="774"/>
      <c r="R1239" s="774"/>
      <c r="S1239" s="774"/>
    </row>
    <row r="1240" spans="14:19" ht="29.1" customHeight="1">
      <c r="N1240" s="774"/>
      <c r="O1240" s="774"/>
      <c r="P1240" s="774"/>
      <c r="Q1240" s="774"/>
      <c r="R1240" s="774"/>
      <c r="S1240" s="774"/>
    </row>
    <row r="1241" spans="14:19" ht="29.1" customHeight="1">
      <c r="N1241" s="774"/>
      <c r="O1241" s="774"/>
      <c r="P1241" s="774"/>
      <c r="Q1241" s="774"/>
      <c r="R1241" s="774"/>
      <c r="S1241" s="774"/>
    </row>
    <row r="1242" spans="14:19" ht="29.1" customHeight="1">
      <c r="N1242" s="774"/>
      <c r="O1242" s="774"/>
      <c r="P1242" s="774"/>
      <c r="Q1242" s="774"/>
      <c r="R1242" s="774"/>
      <c r="S1242" s="774"/>
    </row>
    <row r="1243" spans="14:19" ht="29.1" customHeight="1">
      <c r="N1243" s="774"/>
      <c r="O1243" s="774"/>
      <c r="P1243" s="774"/>
      <c r="Q1243" s="774"/>
      <c r="R1243" s="774"/>
      <c r="S1243" s="774"/>
    </row>
    <row r="1244" spans="14:19" ht="29.1" customHeight="1">
      <c r="N1244" s="774"/>
      <c r="O1244" s="774"/>
      <c r="P1244" s="774"/>
      <c r="Q1244" s="774"/>
      <c r="R1244" s="774"/>
      <c r="S1244" s="774"/>
    </row>
    <row r="1245" spans="14:19" ht="29.1" customHeight="1">
      <c r="N1245" s="774"/>
      <c r="O1245" s="774"/>
      <c r="P1245" s="774"/>
      <c r="Q1245" s="774"/>
      <c r="R1245" s="774"/>
      <c r="S1245" s="774"/>
    </row>
    <row r="1246" spans="14:19" ht="29.1" customHeight="1">
      <c r="N1246" s="774"/>
      <c r="O1246" s="774"/>
      <c r="P1246" s="774"/>
      <c r="Q1246" s="774"/>
      <c r="R1246" s="774"/>
      <c r="S1246" s="774"/>
    </row>
    <row r="1247" spans="14:19" ht="29.1" customHeight="1">
      <c r="N1247" s="774"/>
      <c r="O1247" s="774"/>
      <c r="P1247" s="774"/>
      <c r="Q1247" s="774"/>
      <c r="R1247" s="774"/>
      <c r="S1247" s="774"/>
    </row>
    <row r="1248" spans="14:19" ht="29.1" customHeight="1">
      <c r="N1248" s="774"/>
      <c r="O1248" s="774"/>
      <c r="P1248" s="774"/>
      <c r="Q1248" s="774"/>
      <c r="R1248" s="774"/>
      <c r="S1248" s="774"/>
    </row>
    <row r="1249" spans="14:19" ht="29.1" customHeight="1">
      <c r="N1249" s="774"/>
      <c r="O1249" s="774"/>
      <c r="P1249" s="774"/>
      <c r="Q1249" s="774"/>
      <c r="R1249" s="774"/>
      <c r="S1249" s="774"/>
    </row>
    <row r="1250" spans="14:19" ht="29.1" customHeight="1">
      <c r="N1250" s="774"/>
      <c r="O1250" s="774"/>
      <c r="P1250" s="774"/>
      <c r="Q1250" s="774"/>
      <c r="R1250" s="774"/>
      <c r="S1250" s="774"/>
    </row>
    <row r="1251" spans="14:19" ht="29.1" customHeight="1">
      <c r="N1251" s="774"/>
      <c r="O1251" s="774"/>
      <c r="P1251" s="774"/>
      <c r="Q1251" s="774"/>
      <c r="R1251" s="774"/>
      <c r="S1251" s="774"/>
    </row>
    <row r="1252" spans="14:19" ht="29.1" customHeight="1">
      <c r="N1252" s="774"/>
      <c r="O1252" s="774"/>
      <c r="P1252" s="774"/>
      <c r="Q1252" s="774"/>
      <c r="R1252" s="774"/>
      <c r="S1252" s="774"/>
    </row>
    <row r="1253" spans="14:19" ht="29.1" customHeight="1">
      <c r="N1253" s="774"/>
      <c r="O1253" s="774"/>
      <c r="P1253" s="774"/>
      <c r="Q1253" s="774"/>
      <c r="R1253" s="774"/>
      <c r="S1253" s="774"/>
    </row>
    <row r="1254" spans="14:19" ht="29.1" customHeight="1">
      <c r="N1254" s="774"/>
      <c r="O1254" s="774"/>
      <c r="P1254" s="774"/>
      <c r="Q1254" s="774"/>
      <c r="R1254" s="774"/>
      <c r="S1254" s="774"/>
    </row>
    <row r="1255" spans="14:19" ht="29.1" customHeight="1">
      <c r="N1255" s="774"/>
      <c r="O1255" s="774"/>
      <c r="P1255" s="774"/>
      <c r="Q1255" s="774"/>
      <c r="R1255" s="774"/>
      <c r="S1255" s="774"/>
    </row>
    <row r="1256" spans="14:19" ht="29.1" customHeight="1">
      <c r="N1256" s="774"/>
      <c r="O1256" s="774"/>
      <c r="P1256" s="774"/>
      <c r="Q1256" s="774"/>
      <c r="R1256" s="774"/>
      <c r="S1256" s="774"/>
    </row>
    <row r="1257" spans="14:19" ht="29.1" customHeight="1">
      <c r="N1257" s="774"/>
      <c r="O1257" s="774"/>
      <c r="P1257" s="774"/>
      <c r="Q1257" s="774"/>
      <c r="R1257" s="774"/>
      <c r="S1257" s="774"/>
    </row>
    <row r="1258" spans="14:19" ht="29.1" customHeight="1">
      <c r="N1258" s="774"/>
      <c r="O1258" s="774"/>
      <c r="P1258" s="774"/>
      <c r="Q1258" s="774"/>
      <c r="R1258" s="774"/>
      <c r="S1258" s="774"/>
    </row>
    <row r="1259" spans="14:19" ht="29.1" customHeight="1">
      <c r="N1259" s="774"/>
      <c r="O1259" s="774"/>
      <c r="P1259" s="774"/>
      <c r="Q1259" s="774"/>
      <c r="R1259" s="774"/>
      <c r="S1259" s="774"/>
    </row>
    <row r="1260" spans="14:19" ht="29.1" customHeight="1">
      <c r="N1260" s="774"/>
      <c r="O1260" s="774"/>
      <c r="P1260" s="774"/>
      <c r="Q1260" s="774"/>
      <c r="R1260" s="774"/>
      <c r="S1260" s="774"/>
    </row>
    <row r="1261" spans="14:19" ht="29.1" customHeight="1">
      <c r="N1261" s="774"/>
      <c r="O1261" s="774"/>
      <c r="P1261" s="774"/>
      <c r="Q1261" s="774"/>
      <c r="R1261" s="774"/>
      <c r="S1261" s="774"/>
    </row>
    <row r="1262" spans="14:19" ht="29.1" customHeight="1">
      <c r="N1262" s="774"/>
      <c r="O1262" s="774"/>
      <c r="P1262" s="774"/>
      <c r="Q1262" s="774"/>
      <c r="R1262" s="774"/>
      <c r="S1262" s="774"/>
    </row>
    <row r="1263" spans="14:19" ht="29.1" customHeight="1">
      <c r="N1263" s="774"/>
      <c r="O1263" s="774"/>
      <c r="P1263" s="774"/>
      <c r="Q1263" s="774"/>
      <c r="R1263" s="774"/>
      <c r="S1263" s="774"/>
    </row>
    <row r="1264" spans="14:19" ht="29.1" customHeight="1">
      <c r="N1264" s="774"/>
      <c r="O1264" s="774"/>
      <c r="P1264" s="774"/>
      <c r="Q1264" s="774"/>
      <c r="R1264" s="774"/>
      <c r="S1264" s="774"/>
    </row>
    <row r="1265" spans="14:19" ht="29.1" customHeight="1">
      <c r="N1265" s="774"/>
      <c r="O1265" s="774"/>
      <c r="P1265" s="774"/>
      <c r="Q1265" s="774"/>
      <c r="R1265" s="774"/>
      <c r="S1265" s="774"/>
    </row>
    <row r="1266" spans="14:19" ht="29.1" customHeight="1">
      <c r="N1266" s="774"/>
      <c r="O1266" s="774"/>
      <c r="P1266" s="774"/>
      <c r="Q1266" s="774"/>
      <c r="R1266" s="774"/>
      <c r="S1266" s="774"/>
    </row>
    <row r="1267" spans="14:19" ht="29.1" customHeight="1">
      <c r="N1267" s="774"/>
      <c r="O1267" s="774"/>
      <c r="P1267" s="774"/>
      <c r="Q1267" s="774"/>
      <c r="R1267" s="774"/>
      <c r="S1267" s="774"/>
    </row>
    <row r="1268" spans="14:19" ht="29.1" customHeight="1">
      <c r="N1268" s="774"/>
      <c r="O1268" s="774"/>
      <c r="P1268" s="774"/>
      <c r="Q1268" s="774"/>
      <c r="R1268" s="774"/>
      <c r="S1268" s="774"/>
    </row>
    <row r="1269" spans="14:19" ht="29.1" customHeight="1">
      <c r="N1269" s="774"/>
      <c r="O1269" s="774"/>
      <c r="P1269" s="774"/>
      <c r="Q1269" s="774"/>
      <c r="R1269" s="774"/>
      <c r="S1269" s="774"/>
    </row>
    <row r="1270" spans="14:19" ht="29.1" customHeight="1">
      <c r="N1270" s="774"/>
      <c r="O1270" s="774"/>
      <c r="P1270" s="774"/>
      <c r="Q1270" s="774"/>
      <c r="R1270" s="774"/>
      <c r="S1270" s="774"/>
    </row>
    <row r="1271" spans="14:19" ht="29.1" customHeight="1">
      <c r="N1271" s="774"/>
      <c r="O1271" s="774"/>
      <c r="P1271" s="774"/>
      <c r="Q1271" s="774"/>
      <c r="R1271" s="774"/>
      <c r="S1271" s="774"/>
    </row>
    <row r="1272" spans="14:19" ht="29.1" customHeight="1">
      <c r="N1272" s="774"/>
      <c r="O1272" s="774"/>
      <c r="P1272" s="774"/>
      <c r="Q1272" s="774"/>
      <c r="R1272" s="774"/>
      <c r="S1272" s="774"/>
    </row>
    <row r="1273" spans="14:19" ht="29.1" customHeight="1">
      <c r="N1273" s="774"/>
      <c r="O1273" s="774"/>
      <c r="P1273" s="774"/>
      <c r="Q1273" s="774"/>
      <c r="R1273" s="774"/>
      <c r="S1273" s="774"/>
    </row>
    <row r="1274" spans="14:19" ht="29.1" customHeight="1">
      <c r="N1274" s="774"/>
      <c r="O1274" s="774"/>
      <c r="P1274" s="774"/>
      <c r="Q1274" s="774"/>
      <c r="R1274" s="774"/>
      <c r="S1274" s="774"/>
    </row>
    <row r="1275" spans="14:19" ht="29.1" customHeight="1">
      <c r="N1275" s="774"/>
      <c r="O1275" s="774"/>
      <c r="P1275" s="774"/>
      <c r="Q1275" s="774"/>
      <c r="R1275" s="774"/>
      <c r="S1275" s="774"/>
    </row>
    <row r="1276" spans="14:19" ht="29.1" customHeight="1">
      <c r="N1276" s="774"/>
      <c r="O1276" s="774"/>
      <c r="P1276" s="774"/>
      <c r="Q1276" s="774"/>
      <c r="R1276" s="774"/>
      <c r="S1276" s="774"/>
    </row>
    <row r="1277" spans="14:19" ht="29.1" customHeight="1">
      <c r="N1277" s="774"/>
      <c r="O1277" s="774"/>
      <c r="P1277" s="774"/>
      <c r="Q1277" s="774"/>
      <c r="R1277" s="774"/>
      <c r="S1277" s="774"/>
    </row>
    <row r="1278" spans="14:19" ht="29.1" customHeight="1">
      <c r="N1278" s="774"/>
      <c r="O1278" s="774"/>
      <c r="P1278" s="774"/>
      <c r="Q1278" s="774"/>
      <c r="R1278" s="774"/>
      <c r="S1278" s="774"/>
    </row>
    <row r="1279" spans="14:19" ht="29.1" customHeight="1">
      <c r="N1279" s="774"/>
      <c r="O1279" s="774"/>
      <c r="P1279" s="774"/>
      <c r="Q1279" s="774"/>
      <c r="R1279" s="774"/>
      <c r="S1279" s="774"/>
    </row>
    <row r="1280" spans="14:19" ht="29.1" customHeight="1">
      <c r="N1280" s="774"/>
      <c r="O1280" s="774"/>
      <c r="P1280" s="774"/>
      <c r="Q1280" s="774"/>
      <c r="R1280" s="774"/>
      <c r="S1280" s="774"/>
    </row>
    <row r="1281" spans="14:19" ht="29.1" customHeight="1">
      <c r="N1281" s="774"/>
      <c r="O1281" s="774"/>
      <c r="P1281" s="774"/>
      <c r="Q1281" s="774"/>
      <c r="R1281" s="774"/>
      <c r="S1281" s="774"/>
    </row>
    <row r="1282" spans="14:19" ht="29.1" customHeight="1">
      <c r="N1282" s="774"/>
      <c r="O1282" s="774"/>
      <c r="P1282" s="774"/>
      <c r="Q1282" s="774"/>
      <c r="R1282" s="774"/>
      <c r="S1282" s="774"/>
    </row>
    <row r="1283" spans="14:19" ht="29.1" customHeight="1">
      <c r="N1283" s="774"/>
      <c r="O1283" s="774"/>
      <c r="P1283" s="774"/>
      <c r="Q1283" s="774"/>
      <c r="R1283" s="774"/>
      <c r="S1283" s="774"/>
    </row>
    <row r="1284" spans="14:19" ht="29.1" customHeight="1">
      <c r="N1284" s="774"/>
      <c r="O1284" s="774"/>
      <c r="P1284" s="774"/>
      <c r="Q1284" s="774"/>
      <c r="R1284" s="774"/>
      <c r="S1284" s="774"/>
    </row>
    <row r="1285" spans="14:19" ht="29.1" customHeight="1">
      <c r="N1285" s="774"/>
      <c r="O1285" s="774"/>
      <c r="P1285" s="774"/>
      <c r="Q1285" s="774"/>
      <c r="R1285" s="774"/>
      <c r="S1285" s="774"/>
    </row>
    <row r="1286" spans="14:19" ht="29.1" customHeight="1">
      <c r="N1286" s="774"/>
      <c r="O1286" s="774"/>
      <c r="P1286" s="774"/>
      <c r="Q1286" s="774"/>
      <c r="R1286" s="774"/>
      <c r="S1286" s="774"/>
    </row>
    <row r="1287" spans="14:19" ht="29.1" customHeight="1">
      <c r="N1287" s="774"/>
      <c r="O1287" s="774"/>
      <c r="P1287" s="774"/>
      <c r="Q1287" s="774"/>
      <c r="R1287" s="774"/>
      <c r="S1287" s="774"/>
    </row>
    <row r="1288" spans="14:19" ht="29.1" customHeight="1">
      <c r="N1288" s="774"/>
      <c r="O1288" s="774"/>
      <c r="P1288" s="774"/>
      <c r="Q1288" s="774"/>
      <c r="R1288" s="774"/>
      <c r="S1288" s="774"/>
    </row>
    <row r="1289" spans="14:19" ht="29.1" customHeight="1">
      <c r="N1289" s="774"/>
      <c r="O1289" s="774"/>
      <c r="P1289" s="774"/>
      <c r="Q1289" s="774"/>
      <c r="R1289" s="774"/>
      <c r="S1289" s="774"/>
    </row>
    <row r="1290" spans="14:19" ht="29.1" customHeight="1">
      <c r="N1290" s="774"/>
      <c r="O1290" s="774"/>
      <c r="P1290" s="774"/>
      <c r="Q1290" s="774"/>
      <c r="R1290" s="774"/>
      <c r="S1290" s="774"/>
    </row>
    <row r="1291" spans="14:19" ht="29.1" customHeight="1">
      <c r="N1291" s="774"/>
      <c r="O1291" s="774"/>
      <c r="P1291" s="774"/>
      <c r="Q1291" s="774"/>
      <c r="R1291" s="774"/>
      <c r="S1291" s="774"/>
    </row>
    <row r="1292" spans="14:19" ht="29.1" customHeight="1">
      <c r="N1292" s="774"/>
      <c r="O1292" s="774"/>
      <c r="P1292" s="774"/>
      <c r="Q1292" s="774"/>
      <c r="R1292" s="774"/>
      <c r="S1292" s="774"/>
    </row>
    <row r="1293" spans="14:19" ht="29.1" customHeight="1">
      <c r="N1293" s="774"/>
      <c r="O1293" s="774"/>
      <c r="P1293" s="774"/>
      <c r="Q1293" s="774"/>
      <c r="R1293" s="774"/>
      <c r="S1293" s="774"/>
    </row>
    <row r="1294" spans="14:19" ht="29.1" customHeight="1">
      <c r="N1294" s="774"/>
      <c r="O1294" s="774"/>
      <c r="P1294" s="774"/>
      <c r="Q1294" s="774"/>
      <c r="R1294" s="774"/>
      <c r="S1294" s="774"/>
    </row>
    <row r="1295" spans="14:19" ht="29.1" customHeight="1">
      <c r="N1295" s="774"/>
      <c r="O1295" s="774"/>
      <c r="P1295" s="774"/>
      <c r="Q1295" s="774"/>
      <c r="R1295" s="774"/>
      <c r="S1295" s="774"/>
    </row>
    <row r="1296" spans="14:19" ht="29.1" customHeight="1">
      <c r="N1296" s="774"/>
      <c r="O1296" s="774"/>
      <c r="P1296" s="774"/>
      <c r="Q1296" s="774"/>
      <c r="R1296" s="774"/>
      <c r="S1296" s="774"/>
    </row>
    <row r="1297" spans="14:19" ht="29.1" customHeight="1">
      <c r="N1297" s="774"/>
      <c r="O1297" s="774"/>
      <c r="P1297" s="774"/>
      <c r="Q1297" s="774"/>
      <c r="R1297" s="774"/>
      <c r="S1297" s="774"/>
    </row>
    <row r="1298" spans="14:19" ht="29.1" customHeight="1">
      <c r="N1298" s="774"/>
      <c r="O1298" s="774"/>
      <c r="P1298" s="774"/>
      <c r="Q1298" s="774"/>
      <c r="R1298" s="774"/>
      <c r="S1298" s="774"/>
    </row>
    <row r="1299" spans="14:19" ht="29.1" customHeight="1">
      <c r="N1299" s="774"/>
      <c r="O1299" s="774"/>
      <c r="P1299" s="774"/>
      <c r="Q1299" s="774"/>
      <c r="R1299" s="774"/>
      <c r="S1299" s="774"/>
    </row>
    <row r="1300" spans="14:19" ht="29.1" customHeight="1">
      <c r="N1300" s="774"/>
      <c r="O1300" s="774"/>
      <c r="P1300" s="774"/>
      <c r="Q1300" s="774"/>
      <c r="R1300" s="774"/>
      <c r="S1300" s="774"/>
    </row>
    <row r="1301" spans="14:19" ht="29.1" customHeight="1">
      <c r="N1301" s="774"/>
      <c r="O1301" s="774"/>
      <c r="P1301" s="774"/>
      <c r="Q1301" s="774"/>
      <c r="R1301" s="774"/>
      <c r="S1301" s="774"/>
    </row>
    <row r="1302" spans="14:19" ht="29.1" customHeight="1">
      <c r="N1302" s="774"/>
      <c r="O1302" s="774"/>
      <c r="P1302" s="774"/>
      <c r="Q1302" s="774"/>
      <c r="R1302" s="774"/>
      <c r="S1302" s="774"/>
    </row>
    <row r="1303" spans="14:19" ht="29.1" customHeight="1">
      <c r="N1303" s="774"/>
      <c r="O1303" s="774"/>
      <c r="P1303" s="774"/>
      <c r="Q1303" s="774"/>
      <c r="R1303" s="774"/>
      <c r="S1303" s="774"/>
    </row>
    <row r="1304" spans="14:19" ht="29.1" customHeight="1">
      <c r="N1304" s="774"/>
      <c r="O1304" s="774"/>
      <c r="P1304" s="774"/>
      <c r="Q1304" s="774"/>
      <c r="R1304" s="774"/>
      <c r="S1304" s="774"/>
    </row>
    <row r="1305" spans="14:19" ht="29.1" customHeight="1">
      <c r="N1305" s="774"/>
      <c r="O1305" s="774"/>
      <c r="P1305" s="774"/>
      <c r="Q1305" s="774"/>
      <c r="R1305" s="774"/>
      <c r="S1305" s="774"/>
    </row>
    <row r="1306" spans="14:19" ht="29.1" customHeight="1">
      <c r="N1306" s="774"/>
      <c r="O1306" s="774"/>
      <c r="P1306" s="774"/>
      <c r="Q1306" s="774"/>
      <c r="R1306" s="774"/>
      <c r="S1306" s="774"/>
    </row>
    <row r="1307" spans="14:19" ht="29.1" customHeight="1">
      <c r="N1307" s="774"/>
      <c r="O1307" s="774"/>
      <c r="P1307" s="774"/>
      <c r="Q1307" s="774"/>
      <c r="R1307" s="774"/>
      <c r="S1307" s="774"/>
    </row>
    <row r="1308" spans="14:19" ht="29.1" customHeight="1">
      <c r="N1308" s="774"/>
      <c r="O1308" s="774"/>
      <c r="P1308" s="774"/>
      <c r="Q1308" s="774"/>
      <c r="R1308" s="774"/>
      <c r="S1308" s="774"/>
    </row>
    <row r="1309" spans="14:19" ht="29.1" customHeight="1">
      <c r="N1309" s="774"/>
      <c r="O1309" s="774"/>
      <c r="P1309" s="774"/>
      <c r="Q1309" s="774"/>
      <c r="R1309" s="774"/>
      <c r="S1309" s="774"/>
    </row>
    <row r="1310" spans="14:19" ht="29.1" customHeight="1">
      <c r="N1310" s="774"/>
      <c r="O1310" s="774"/>
      <c r="P1310" s="774"/>
      <c r="Q1310" s="774"/>
      <c r="R1310" s="774"/>
      <c r="S1310" s="774"/>
    </row>
    <row r="1311" spans="14:19" ht="29.1" customHeight="1">
      <c r="N1311" s="774"/>
      <c r="O1311" s="774"/>
      <c r="P1311" s="774"/>
      <c r="Q1311" s="774"/>
      <c r="R1311" s="774"/>
      <c r="S1311" s="774"/>
    </row>
    <row r="1312" spans="14:19" ht="29.1" customHeight="1">
      <c r="N1312" s="774"/>
      <c r="O1312" s="774"/>
      <c r="P1312" s="774"/>
      <c r="Q1312" s="774"/>
      <c r="R1312" s="774"/>
      <c r="S1312" s="774"/>
    </row>
    <row r="1313" spans="14:19" ht="29.1" customHeight="1">
      <c r="N1313" s="774"/>
      <c r="O1313" s="774"/>
      <c r="P1313" s="774"/>
      <c r="Q1313" s="774"/>
      <c r="R1313" s="774"/>
      <c r="S1313" s="774"/>
    </row>
    <row r="1314" spans="14:19" ht="29.1" customHeight="1">
      <c r="N1314" s="774"/>
      <c r="O1314" s="774"/>
      <c r="P1314" s="774"/>
      <c r="Q1314" s="774"/>
      <c r="R1314" s="774"/>
      <c r="S1314" s="774"/>
    </row>
    <row r="1315" spans="14:19" ht="29.1" customHeight="1">
      <c r="N1315" s="774"/>
      <c r="O1315" s="774"/>
      <c r="P1315" s="774"/>
      <c r="Q1315" s="774"/>
      <c r="R1315" s="774"/>
      <c r="S1315" s="774"/>
    </row>
    <row r="1316" spans="14:19" ht="29.1" customHeight="1">
      <c r="N1316" s="774"/>
      <c r="O1316" s="774"/>
      <c r="P1316" s="774"/>
      <c r="Q1316" s="774"/>
      <c r="R1316" s="774"/>
      <c r="S1316" s="774"/>
    </row>
    <row r="1317" spans="14:19" ht="29.1" customHeight="1">
      <c r="N1317" s="774"/>
      <c r="O1317" s="774"/>
      <c r="P1317" s="774"/>
      <c r="Q1317" s="774"/>
      <c r="R1317" s="774"/>
      <c r="S1317" s="774"/>
    </row>
    <row r="1318" spans="14:19" ht="29.1" customHeight="1">
      <c r="N1318" s="774"/>
      <c r="O1318" s="774"/>
      <c r="P1318" s="774"/>
      <c r="Q1318" s="774"/>
      <c r="R1318" s="774"/>
      <c r="S1318" s="774"/>
    </row>
    <row r="1319" spans="14:19" ht="29.1" customHeight="1">
      <c r="N1319" s="774"/>
      <c r="O1319" s="774"/>
      <c r="P1319" s="774"/>
      <c r="Q1319" s="774"/>
      <c r="R1319" s="774"/>
      <c r="S1319" s="774"/>
    </row>
    <row r="1320" spans="14:19" ht="29.1" customHeight="1">
      <c r="N1320" s="774"/>
      <c r="O1320" s="774"/>
      <c r="P1320" s="774"/>
      <c r="Q1320" s="774"/>
      <c r="R1320" s="774"/>
      <c r="S1320" s="774"/>
    </row>
    <row r="1321" spans="14:19" ht="29.1" customHeight="1">
      <c r="N1321" s="774"/>
      <c r="O1321" s="774"/>
      <c r="P1321" s="774"/>
      <c r="Q1321" s="774"/>
      <c r="R1321" s="774"/>
      <c r="S1321" s="774"/>
    </row>
    <row r="1322" spans="14:19" ht="29.1" customHeight="1">
      <c r="N1322" s="774"/>
      <c r="O1322" s="774"/>
      <c r="P1322" s="774"/>
      <c r="Q1322" s="774"/>
      <c r="R1322" s="774"/>
      <c r="S1322" s="774"/>
    </row>
    <row r="1323" spans="14:19" ht="29.1" customHeight="1">
      <c r="N1323" s="774"/>
      <c r="O1323" s="774"/>
      <c r="P1323" s="774"/>
      <c r="Q1323" s="774"/>
      <c r="R1323" s="774"/>
      <c r="S1323" s="774"/>
    </row>
    <row r="1324" spans="14:19" ht="29.1" customHeight="1">
      <c r="N1324" s="774"/>
      <c r="O1324" s="774"/>
      <c r="P1324" s="774"/>
      <c r="Q1324" s="774"/>
      <c r="R1324" s="774"/>
      <c r="S1324" s="774"/>
    </row>
    <row r="1325" spans="14:19" ht="29.1" customHeight="1">
      <c r="N1325" s="774"/>
      <c r="O1325" s="774"/>
      <c r="P1325" s="774"/>
      <c r="Q1325" s="774"/>
      <c r="R1325" s="774"/>
      <c r="S1325" s="774"/>
    </row>
    <row r="1326" spans="14:19" ht="29.1" customHeight="1">
      <c r="N1326" s="774"/>
      <c r="O1326" s="774"/>
      <c r="P1326" s="774"/>
      <c r="Q1326" s="774"/>
      <c r="R1326" s="774"/>
      <c r="S1326" s="774"/>
    </row>
    <row r="1327" spans="14:19" ht="29.1" customHeight="1">
      <c r="N1327" s="774"/>
      <c r="O1327" s="774"/>
      <c r="P1327" s="774"/>
      <c r="Q1327" s="774"/>
      <c r="R1327" s="774"/>
      <c r="S1327" s="774"/>
    </row>
    <row r="1328" spans="14:19" ht="29.1" customHeight="1">
      <c r="N1328" s="774"/>
      <c r="O1328" s="774"/>
      <c r="P1328" s="774"/>
      <c r="Q1328" s="774"/>
      <c r="R1328" s="774"/>
      <c r="S1328" s="774"/>
    </row>
    <row r="1329" spans="14:19" ht="29.1" customHeight="1">
      <c r="N1329" s="774"/>
      <c r="O1329" s="774"/>
      <c r="P1329" s="774"/>
      <c r="Q1329" s="774"/>
      <c r="R1329" s="774"/>
      <c r="S1329" s="774"/>
    </row>
    <row r="1330" spans="14:19" ht="29.1" customHeight="1">
      <c r="N1330" s="774"/>
      <c r="O1330" s="774"/>
      <c r="P1330" s="774"/>
      <c r="Q1330" s="774"/>
      <c r="R1330" s="774"/>
      <c r="S1330" s="774"/>
    </row>
    <row r="1331" spans="14:19" ht="29.1" customHeight="1">
      <c r="N1331" s="774"/>
      <c r="O1331" s="774"/>
      <c r="P1331" s="774"/>
      <c r="Q1331" s="774"/>
      <c r="R1331" s="774"/>
      <c r="S1331" s="774"/>
    </row>
    <row r="1332" spans="14:19" ht="29.1" customHeight="1">
      <c r="N1332" s="774"/>
      <c r="O1332" s="774"/>
      <c r="P1332" s="774"/>
      <c r="Q1332" s="774"/>
      <c r="R1332" s="774"/>
      <c r="S1332" s="774"/>
    </row>
    <row r="1333" spans="14:19" ht="29.1" customHeight="1">
      <c r="N1333" s="774"/>
      <c r="O1333" s="774"/>
      <c r="P1333" s="774"/>
      <c r="Q1333" s="774"/>
      <c r="R1333" s="774"/>
      <c r="S1333" s="774"/>
    </row>
    <row r="1334" spans="14:19" ht="29.1" customHeight="1">
      <c r="N1334" s="774"/>
      <c r="O1334" s="774"/>
      <c r="P1334" s="774"/>
      <c r="Q1334" s="774"/>
      <c r="R1334" s="774"/>
      <c r="S1334" s="774"/>
    </row>
    <row r="1335" spans="14:19" ht="29.1" customHeight="1">
      <c r="N1335" s="774"/>
      <c r="O1335" s="774"/>
      <c r="P1335" s="774"/>
      <c r="Q1335" s="774"/>
      <c r="R1335" s="774"/>
      <c r="S1335" s="774"/>
    </row>
    <row r="1336" spans="14:19" ht="29.1" customHeight="1">
      <c r="N1336" s="774"/>
      <c r="O1336" s="774"/>
      <c r="P1336" s="774"/>
      <c r="Q1336" s="774"/>
      <c r="R1336" s="774"/>
      <c r="S1336" s="774"/>
    </row>
    <row r="1337" spans="14:19" ht="29.1" customHeight="1">
      <c r="N1337" s="774"/>
      <c r="O1337" s="774"/>
      <c r="P1337" s="774"/>
      <c r="Q1337" s="774"/>
      <c r="R1337" s="774"/>
      <c r="S1337" s="774"/>
    </row>
    <row r="1338" spans="14:19" ht="29.1" customHeight="1">
      <c r="N1338" s="774"/>
      <c r="O1338" s="774"/>
      <c r="P1338" s="774"/>
      <c r="Q1338" s="774"/>
      <c r="R1338" s="774"/>
      <c r="S1338" s="774"/>
    </row>
    <row r="1339" spans="14:19" ht="29.1" customHeight="1">
      <c r="N1339" s="774"/>
      <c r="O1339" s="774"/>
      <c r="P1339" s="774"/>
      <c r="Q1339" s="774"/>
      <c r="R1339" s="774"/>
      <c r="S1339" s="774"/>
    </row>
    <row r="1340" spans="14:19" ht="29.1" customHeight="1">
      <c r="N1340" s="774"/>
      <c r="O1340" s="774"/>
      <c r="P1340" s="774"/>
      <c r="Q1340" s="774"/>
      <c r="R1340" s="774"/>
      <c r="S1340" s="774"/>
    </row>
    <row r="1341" spans="14:19" ht="29.1" customHeight="1">
      <c r="N1341" s="774"/>
      <c r="O1341" s="774"/>
      <c r="P1341" s="774"/>
      <c r="Q1341" s="774"/>
      <c r="R1341" s="774"/>
      <c r="S1341" s="774"/>
    </row>
    <row r="1342" spans="14:19" ht="29.1" customHeight="1">
      <c r="N1342" s="774"/>
      <c r="O1342" s="774"/>
      <c r="P1342" s="774"/>
      <c r="Q1342" s="774"/>
      <c r="R1342" s="774"/>
      <c r="S1342" s="774"/>
    </row>
    <row r="1343" spans="14:19" ht="29.1" customHeight="1">
      <c r="N1343" s="774"/>
      <c r="O1343" s="774"/>
      <c r="P1343" s="774"/>
      <c r="Q1343" s="774"/>
      <c r="R1343" s="774"/>
      <c r="S1343" s="774"/>
    </row>
    <row r="1344" spans="14:19" ht="29.1" customHeight="1">
      <c r="N1344" s="774"/>
      <c r="O1344" s="774"/>
      <c r="P1344" s="774"/>
      <c r="Q1344" s="774"/>
      <c r="R1344" s="774"/>
      <c r="S1344" s="774"/>
    </row>
    <row r="1345" spans="14:19" ht="29.1" customHeight="1">
      <c r="N1345" s="774"/>
      <c r="O1345" s="774"/>
      <c r="P1345" s="774"/>
      <c r="Q1345" s="774"/>
      <c r="R1345" s="774"/>
      <c r="S1345" s="774"/>
    </row>
    <row r="1346" spans="14:19" ht="29.1" customHeight="1">
      <c r="N1346" s="774"/>
      <c r="O1346" s="774"/>
      <c r="P1346" s="774"/>
      <c r="Q1346" s="774"/>
      <c r="R1346" s="774"/>
      <c r="S1346" s="774"/>
    </row>
    <row r="1347" spans="14:19" ht="29.1" customHeight="1">
      <c r="N1347" s="774"/>
      <c r="O1347" s="774"/>
      <c r="P1347" s="774"/>
      <c r="Q1347" s="774"/>
      <c r="R1347" s="774"/>
      <c r="S1347" s="774"/>
    </row>
    <row r="1348" spans="14:19" ht="29.1" customHeight="1">
      <c r="N1348" s="774"/>
      <c r="O1348" s="774"/>
      <c r="P1348" s="774"/>
      <c r="Q1348" s="774"/>
      <c r="R1348" s="774"/>
      <c r="S1348" s="774"/>
    </row>
    <row r="1349" spans="14:19" ht="29.1" customHeight="1">
      <c r="N1349" s="774"/>
      <c r="O1349" s="774"/>
      <c r="P1349" s="774"/>
      <c r="Q1349" s="774"/>
      <c r="R1349" s="774"/>
      <c r="S1349" s="774"/>
    </row>
    <row r="1350" spans="14:19" ht="29.1" customHeight="1">
      <c r="N1350" s="774"/>
      <c r="O1350" s="774"/>
      <c r="P1350" s="774"/>
      <c r="Q1350" s="774"/>
      <c r="R1350" s="774"/>
      <c r="S1350" s="774"/>
    </row>
    <row r="1351" spans="14:19" ht="29.1" customHeight="1">
      <c r="N1351" s="774"/>
      <c r="O1351" s="774"/>
      <c r="P1351" s="774"/>
      <c r="Q1351" s="774"/>
      <c r="R1351" s="774"/>
      <c r="S1351" s="774"/>
    </row>
    <row r="1352" spans="14:19" ht="29.1" customHeight="1">
      <c r="N1352" s="774"/>
      <c r="O1352" s="774"/>
      <c r="P1352" s="774"/>
      <c r="Q1352" s="774"/>
      <c r="R1352" s="774"/>
      <c r="S1352" s="774"/>
    </row>
    <row r="1353" spans="14:19" ht="29.1" customHeight="1">
      <c r="N1353" s="774"/>
      <c r="O1353" s="774"/>
      <c r="P1353" s="774"/>
      <c r="Q1353" s="774"/>
      <c r="R1353" s="774"/>
      <c r="S1353" s="774"/>
    </row>
    <row r="1354" spans="14:19" ht="29.1" customHeight="1">
      <c r="N1354" s="774"/>
      <c r="O1354" s="774"/>
      <c r="P1354" s="774"/>
      <c r="Q1354" s="774"/>
      <c r="R1354" s="774"/>
      <c r="S1354" s="774"/>
    </row>
    <row r="1355" spans="14:19" ht="29.1" customHeight="1">
      <c r="N1355" s="774"/>
      <c r="O1355" s="774"/>
      <c r="P1355" s="774"/>
      <c r="Q1355" s="774"/>
      <c r="R1355" s="774"/>
      <c r="S1355" s="774"/>
    </row>
    <row r="1356" spans="14:19" ht="29.1" customHeight="1">
      <c r="N1356" s="774"/>
      <c r="O1356" s="774"/>
      <c r="P1356" s="774"/>
      <c r="Q1356" s="774"/>
      <c r="R1356" s="774"/>
      <c r="S1356" s="774"/>
    </row>
    <row r="1357" spans="14:19" ht="29.1" customHeight="1">
      <c r="N1357" s="774"/>
      <c r="O1357" s="774"/>
      <c r="P1357" s="774"/>
      <c r="Q1357" s="774"/>
      <c r="R1357" s="774"/>
      <c r="S1357" s="774"/>
    </row>
    <row r="1358" spans="14:19" ht="29.1" customHeight="1">
      <c r="N1358" s="774"/>
      <c r="O1358" s="774"/>
      <c r="P1358" s="774"/>
      <c r="Q1358" s="774"/>
      <c r="R1358" s="774"/>
      <c r="S1358" s="774"/>
    </row>
    <row r="1359" spans="14:19" ht="29.1" customHeight="1">
      <c r="N1359" s="774"/>
      <c r="O1359" s="774"/>
      <c r="P1359" s="774"/>
      <c r="Q1359" s="774"/>
      <c r="R1359" s="774"/>
      <c r="S1359" s="774"/>
    </row>
    <row r="1360" spans="14:19" ht="29.1" customHeight="1">
      <c r="N1360" s="774"/>
      <c r="O1360" s="774"/>
      <c r="P1360" s="774"/>
      <c r="Q1360" s="774"/>
      <c r="R1360" s="774"/>
      <c r="S1360" s="774"/>
    </row>
    <row r="1361" spans="14:19" ht="29.1" customHeight="1">
      <c r="N1361" s="774"/>
      <c r="O1361" s="774"/>
      <c r="P1361" s="774"/>
      <c r="Q1361" s="774"/>
      <c r="R1361" s="774"/>
      <c r="S1361" s="774"/>
    </row>
    <row r="1362" spans="14:19" ht="29.1" customHeight="1">
      <c r="N1362" s="774"/>
      <c r="O1362" s="774"/>
      <c r="P1362" s="774"/>
      <c r="Q1362" s="774"/>
      <c r="R1362" s="774"/>
      <c r="S1362" s="774"/>
    </row>
    <row r="1363" spans="14:19" ht="29.1" customHeight="1">
      <c r="N1363" s="774"/>
      <c r="O1363" s="774"/>
      <c r="P1363" s="774"/>
      <c r="Q1363" s="774"/>
      <c r="R1363" s="774"/>
      <c r="S1363" s="774"/>
    </row>
    <row r="1364" spans="14:19" ht="29.1" customHeight="1">
      <c r="N1364" s="774"/>
      <c r="O1364" s="774"/>
      <c r="P1364" s="774"/>
      <c r="Q1364" s="774"/>
      <c r="R1364" s="774"/>
      <c r="S1364" s="774"/>
    </row>
    <row r="1365" spans="14:19" ht="29.1" customHeight="1">
      <c r="N1365" s="774"/>
      <c r="O1365" s="774"/>
      <c r="P1365" s="774"/>
      <c r="Q1365" s="774"/>
      <c r="R1365" s="774"/>
      <c r="S1365" s="774"/>
    </row>
    <row r="1366" spans="14:19" ht="29.1" customHeight="1">
      <c r="N1366" s="774"/>
      <c r="O1366" s="774"/>
      <c r="P1366" s="774"/>
      <c r="Q1366" s="774"/>
      <c r="R1366" s="774"/>
      <c r="S1366" s="774"/>
    </row>
    <row r="1367" spans="14:19" ht="29.1" customHeight="1">
      <c r="N1367" s="774"/>
      <c r="O1367" s="774"/>
      <c r="P1367" s="774"/>
      <c r="Q1367" s="774"/>
      <c r="R1367" s="774"/>
      <c r="S1367" s="774"/>
    </row>
    <row r="1368" spans="14:19" ht="29.1" customHeight="1">
      <c r="N1368" s="774"/>
      <c r="O1368" s="774"/>
      <c r="P1368" s="774"/>
      <c r="Q1368" s="774"/>
      <c r="R1368" s="774"/>
      <c r="S1368" s="774"/>
    </row>
    <row r="1369" spans="14:19" ht="29.1" customHeight="1">
      <c r="N1369" s="774"/>
      <c r="O1369" s="774"/>
      <c r="P1369" s="774"/>
      <c r="Q1369" s="774"/>
      <c r="R1369" s="774"/>
      <c r="S1369" s="774"/>
    </row>
    <row r="1370" spans="14:19" ht="29.1" customHeight="1">
      <c r="N1370" s="774"/>
      <c r="O1370" s="774"/>
      <c r="P1370" s="774"/>
      <c r="Q1370" s="774"/>
      <c r="R1370" s="774"/>
      <c r="S1370" s="774"/>
    </row>
    <row r="1371" spans="14:19" ht="29.1" customHeight="1">
      <c r="N1371" s="774"/>
      <c r="O1371" s="774"/>
      <c r="P1371" s="774"/>
      <c r="Q1371" s="774"/>
      <c r="R1371" s="774"/>
      <c r="S1371" s="774"/>
    </row>
    <row r="1372" spans="14:19" ht="29.1" customHeight="1">
      <c r="N1372" s="774"/>
      <c r="O1372" s="774"/>
      <c r="P1372" s="774"/>
      <c r="Q1372" s="774"/>
      <c r="R1372" s="774"/>
      <c r="S1372" s="774"/>
    </row>
    <row r="1373" spans="14:19" ht="29.1" customHeight="1">
      <c r="N1373" s="774"/>
      <c r="O1373" s="774"/>
      <c r="P1373" s="774"/>
      <c r="Q1373" s="774"/>
      <c r="R1373" s="774"/>
      <c r="S1373" s="774"/>
    </row>
    <row r="1374" spans="14:19" ht="29.1" customHeight="1">
      <c r="N1374" s="774"/>
      <c r="O1374" s="774"/>
      <c r="P1374" s="774"/>
      <c r="Q1374" s="774"/>
      <c r="R1374" s="774"/>
      <c r="S1374" s="774"/>
    </row>
    <row r="1375" spans="14:19" ht="29.1" customHeight="1">
      <c r="N1375" s="774"/>
      <c r="O1375" s="774"/>
      <c r="P1375" s="774"/>
      <c r="Q1375" s="774"/>
      <c r="R1375" s="774"/>
      <c r="S1375" s="774"/>
    </row>
    <row r="1376" spans="14:19" ht="29.1" customHeight="1">
      <c r="N1376" s="774"/>
      <c r="O1376" s="774"/>
      <c r="P1376" s="774"/>
      <c r="Q1376" s="774"/>
      <c r="R1376" s="774"/>
      <c r="S1376" s="774"/>
    </row>
    <row r="1377" spans="14:19" ht="29.1" customHeight="1">
      <c r="N1377" s="774"/>
      <c r="O1377" s="774"/>
      <c r="P1377" s="774"/>
      <c r="Q1377" s="774"/>
      <c r="R1377" s="774"/>
      <c r="S1377" s="774"/>
    </row>
    <row r="1378" spans="14:19" ht="29.1" customHeight="1">
      <c r="N1378" s="774"/>
      <c r="O1378" s="774"/>
      <c r="P1378" s="774"/>
      <c r="Q1378" s="774"/>
      <c r="R1378" s="774"/>
      <c r="S1378" s="774"/>
    </row>
    <row r="1379" spans="14:19" ht="29.1" customHeight="1">
      <c r="N1379" s="774"/>
      <c r="O1379" s="774"/>
      <c r="P1379" s="774"/>
      <c r="Q1379" s="774"/>
      <c r="R1379" s="774"/>
      <c r="S1379" s="774"/>
    </row>
    <row r="1380" spans="14:19" ht="29.1" customHeight="1">
      <c r="N1380" s="774"/>
      <c r="O1380" s="774"/>
      <c r="P1380" s="774"/>
      <c r="Q1380" s="774"/>
      <c r="R1380" s="774"/>
      <c r="S1380" s="774"/>
    </row>
    <row r="1381" spans="14:19" ht="29.1" customHeight="1">
      <c r="N1381" s="774"/>
      <c r="O1381" s="774"/>
      <c r="P1381" s="774"/>
      <c r="Q1381" s="774"/>
      <c r="R1381" s="774"/>
      <c r="S1381" s="774"/>
    </row>
    <row r="1382" spans="14:19" ht="29.1" customHeight="1">
      <c r="N1382" s="774"/>
      <c r="O1382" s="774"/>
      <c r="P1382" s="774"/>
      <c r="Q1382" s="774"/>
      <c r="R1382" s="774"/>
      <c r="S1382" s="774"/>
    </row>
    <row r="1383" spans="14:19" ht="29.1" customHeight="1">
      <c r="N1383" s="774"/>
      <c r="O1383" s="774"/>
      <c r="P1383" s="774"/>
      <c r="Q1383" s="774"/>
      <c r="R1383" s="774"/>
      <c r="S1383" s="774"/>
    </row>
    <row r="1384" spans="14:19" ht="29.1" customHeight="1">
      <c r="N1384" s="774"/>
      <c r="O1384" s="774"/>
      <c r="P1384" s="774"/>
      <c r="Q1384" s="774"/>
      <c r="R1384" s="774"/>
      <c r="S1384" s="774"/>
    </row>
    <row r="1385" spans="14:19" ht="29.1" customHeight="1">
      <c r="N1385" s="774"/>
      <c r="O1385" s="774"/>
      <c r="P1385" s="774"/>
      <c r="Q1385" s="774"/>
      <c r="R1385" s="774"/>
      <c r="S1385" s="774"/>
    </row>
    <row r="1386" spans="14:19" ht="29.1" customHeight="1">
      <c r="N1386" s="774"/>
      <c r="O1386" s="774"/>
      <c r="P1386" s="774"/>
      <c r="Q1386" s="774"/>
      <c r="R1386" s="774"/>
      <c r="S1386" s="774"/>
    </row>
    <row r="1387" spans="14:19" ht="29.1" customHeight="1">
      <c r="N1387" s="774"/>
      <c r="O1387" s="774"/>
      <c r="P1387" s="774"/>
      <c r="Q1387" s="774"/>
      <c r="R1387" s="774"/>
      <c r="S1387" s="774"/>
    </row>
    <row r="1388" spans="14:19" ht="29.1" customHeight="1">
      <c r="N1388" s="774"/>
      <c r="O1388" s="774"/>
      <c r="P1388" s="774"/>
      <c r="Q1388" s="774"/>
      <c r="R1388" s="774"/>
      <c r="S1388" s="774"/>
    </row>
    <row r="1389" spans="14:19" ht="29.1" customHeight="1">
      <c r="N1389" s="774"/>
      <c r="O1389" s="774"/>
      <c r="P1389" s="774"/>
      <c r="Q1389" s="774"/>
      <c r="R1389" s="774"/>
      <c r="S1389" s="774"/>
    </row>
    <row r="1390" spans="14:19" ht="29.1" customHeight="1">
      <c r="N1390" s="774"/>
      <c r="O1390" s="774"/>
      <c r="P1390" s="774"/>
      <c r="Q1390" s="774"/>
      <c r="R1390" s="774"/>
      <c r="S1390" s="774"/>
    </row>
    <row r="1391" spans="14:19" ht="29.1" customHeight="1">
      <c r="N1391" s="774"/>
      <c r="O1391" s="774"/>
      <c r="P1391" s="774"/>
      <c r="Q1391" s="774"/>
      <c r="R1391" s="774"/>
      <c r="S1391" s="774"/>
    </row>
    <row r="1392" spans="14:19" ht="29.1" customHeight="1">
      <c r="N1392" s="774"/>
      <c r="O1392" s="774"/>
      <c r="P1392" s="774"/>
      <c r="Q1392" s="774"/>
      <c r="R1392" s="774"/>
      <c r="S1392" s="774"/>
    </row>
    <row r="1393" spans="14:19" ht="29.1" customHeight="1">
      <c r="N1393" s="774"/>
      <c r="O1393" s="774"/>
      <c r="P1393" s="774"/>
      <c r="Q1393" s="774"/>
      <c r="R1393" s="774"/>
      <c r="S1393" s="774"/>
    </row>
    <row r="1394" spans="14:19" ht="29.1" customHeight="1">
      <c r="N1394" s="774"/>
      <c r="O1394" s="774"/>
      <c r="P1394" s="774"/>
      <c r="Q1394" s="774"/>
      <c r="R1394" s="774"/>
      <c r="S1394" s="774"/>
    </row>
    <row r="1395" spans="14:19" ht="29.1" customHeight="1">
      <c r="N1395" s="774"/>
      <c r="O1395" s="774"/>
      <c r="P1395" s="774"/>
      <c r="Q1395" s="774"/>
      <c r="R1395" s="774"/>
      <c r="S1395" s="774"/>
    </row>
    <row r="1396" spans="14:19" ht="29.1" customHeight="1">
      <c r="N1396" s="774"/>
      <c r="O1396" s="774"/>
      <c r="P1396" s="774"/>
      <c r="Q1396" s="774"/>
      <c r="R1396" s="774"/>
      <c r="S1396" s="774"/>
    </row>
    <row r="1397" spans="14:19" ht="29.1" customHeight="1">
      <c r="N1397" s="774"/>
      <c r="O1397" s="774"/>
      <c r="P1397" s="774"/>
      <c r="Q1397" s="774"/>
      <c r="R1397" s="774"/>
      <c r="S1397" s="774"/>
    </row>
    <row r="1398" spans="14:19" ht="29.1" customHeight="1">
      <c r="N1398" s="774"/>
      <c r="O1398" s="774"/>
      <c r="P1398" s="774"/>
      <c r="Q1398" s="774"/>
      <c r="R1398" s="774"/>
      <c r="S1398" s="774"/>
    </row>
    <row r="1399" spans="14:19" ht="29.1" customHeight="1">
      <c r="N1399" s="774"/>
      <c r="O1399" s="774"/>
      <c r="P1399" s="774"/>
      <c r="Q1399" s="774"/>
      <c r="R1399" s="774"/>
      <c r="S1399" s="774"/>
    </row>
    <row r="1400" spans="14:19" ht="29.1" customHeight="1">
      <c r="N1400" s="774"/>
      <c r="O1400" s="774"/>
      <c r="P1400" s="774"/>
      <c r="Q1400" s="774"/>
      <c r="R1400" s="774"/>
      <c r="S1400" s="774"/>
    </row>
    <row r="1401" spans="14:19" ht="29.1" customHeight="1">
      <c r="N1401" s="774"/>
      <c r="O1401" s="774"/>
      <c r="P1401" s="774"/>
      <c r="Q1401" s="774"/>
      <c r="R1401" s="774"/>
      <c r="S1401" s="774"/>
    </row>
    <row r="1402" spans="14:19" ht="29.1" customHeight="1">
      <c r="N1402" s="774"/>
      <c r="O1402" s="774"/>
      <c r="P1402" s="774"/>
      <c r="Q1402" s="774"/>
      <c r="R1402" s="774"/>
      <c r="S1402" s="774"/>
    </row>
    <row r="1403" spans="14:19" ht="29.1" customHeight="1">
      <c r="N1403" s="774"/>
      <c r="O1403" s="774"/>
      <c r="P1403" s="774"/>
      <c r="Q1403" s="774"/>
      <c r="R1403" s="774"/>
      <c r="S1403" s="774"/>
    </row>
    <row r="1404" spans="14:19" ht="29.1" customHeight="1">
      <c r="N1404" s="774"/>
      <c r="O1404" s="774"/>
      <c r="P1404" s="774"/>
      <c r="Q1404" s="774"/>
      <c r="R1404" s="774"/>
      <c r="S1404" s="774"/>
    </row>
    <row r="1405" spans="14:19" ht="29.1" customHeight="1">
      <c r="N1405" s="774"/>
      <c r="O1405" s="774"/>
      <c r="P1405" s="774"/>
      <c r="Q1405" s="774"/>
      <c r="R1405" s="774"/>
      <c r="S1405" s="774"/>
    </row>
    <row r="1406" spans="14:19" ht="29.1" customHeight="1">
      <c r="N1406" s="774"/>
      <c r="O1406" s="774"/>
      <c r="P1406" s="774"/>
      <c r="Q1406" s="774"/>
      <c r="R1406" s="774"/>
      <c r="S1406" s="774"/>
    </row>
    <row r="1407" spans="14:19" ht="29.1" customHeight="1">
      <c r="N1407" s="774"/>
      <c r="O1407" s="774"/>
      <c r="P1407" s="774"/>
      <c r="Q1407" s="774"/>
      <c r="R1407" s="774"/>
      <c r="S1407" s="774"/>
    </row>
    <row r="1408" spans="14:19" ht="29.1" customHeight="1">
      <c r="N1408" s="774"/>
      <c r="O1408" s="774"/>
      <c r="P1408" s="774"/>
      <c r="Q1408" s="774"/>
      <c r="R1408" s="774"/>
      <c r="S1408" s="774"/>
    </row>
    <row r="1409" spans="14:19" ht="29.1" customHeight="1">
      <c r="N1409" s="774"/>
      <c r="O1409" s="774"/>
      <c r="P1409" s="774"/>
      <c r="Q1409" s="774"/>
      <c r="R1409" s="774"/>
      <c r="S1409" s="774"/>
    </row>
    <row r="1410" spans="14:19" ht="29.1" customHeight="1">
      <c r="N1410" s="774"/>
      <c r="O1410" s="774"/>
      <c r="P1410" s="774"/>
      <c r="Q1410" s="774"/>
      <c r="R1410" s="774"/>
      <c r="S1410" s="774"/>
    </row>
    <row r="1411" spans="14:19" ht="29.1" customHeight="1">
      <c r="N1411" s="774"/>
      <c r="O1411" s="774"/>
      <c r="P1411" s="774"/>
      <c r="Q1411" s="774"/>
      <c r="R1411" s="774"/>
      <c r="S1411" s="774"/>
    </row>
    <row r="1412" spans="14:19" ht="29.1" customHeight="1">
      <c r="N1412" s="774"/>
      <c r="O1412" s="774"/>
      <c r="P1412" s="774"/>
      <c r="Q1412" s="774"/>
      <c r="R1412" s="774"/>
      <c r="S1412" s="774"/>
    </row>
    <row r="1413" spans="14:19" ht="29.1" customHeight="1">
      <c r="N1413" s="774"/>
      <c r="O1413" s="774"/>
      <c r="P1413" s="774"/>
      <c r="Q1413" s="774"/>
      <c r="R1413" s="774"/>
      <c r="S1413" s="774"/>
    </row>
    <row r="1414" spans="14:19" ht="29.1" customHeight="1">
      <c r="N1414" s="774"/>
      <c r="O1414" s="774"/>
      <c r="P1414" s="774"/>
      <c r="Q1414" s="774"/>
      <c r="R1414" s="774"/>
      <c r="S1414" s="774"/>
    </row>
    <row r="1415" spans="14:19" ht="29.1" customHeight="1">
      <c r="N1415" s="774"/>
      <c r="O1415" s="774"/>
      <c r="P1415" s="774"/>
      <c r="Q1415" s="774"/>
      <c r="R1415" s="774"/>
      <c r="S1415" s="774"/>
    </row>
    <row r="1416" spans="14:19" ht="29.1" customHeight="1">
      <c r="N1416" s="774"/>
      <c r="O1416" s="774"/>
      <c r="P1416" s="774"/>
      <c r="Q1416" s="774"/>
      <c r="R1416" s="774"/>
      <c r="S1416" s="774"/>
    </row>
    <row r="1417" spans="14:19" ht="29.1" customHeight="1">
      <c r="N1417" s="774"/>
      <c r="O1417" s="774"/>
      <c r="P1417" s="774"/>
      <c r="Q1417" s="774"/>
      <c r="R1417" s="774"/>
      <c r="S1417" s="774"/>
    </row>
    <row r="1418" spans="14:19" ht="29.1" customHeight="1">
      <c r="N1418" s="774"/>
      <c r="O1418" s="774"/>
      <c r="P1418" s="774"/>
      <c r="Q1418" s="774"/>
      <c r="R1418" s="774"/>
      <c r="S1418" s="774"/>
    </row>
    <row r="1419" spans="14:19" ht="29.1" customHeight="1">
      <c r="N1419" s="774"/>
      <c r="O1419" s="774"/>
      <c r="P1419" s="774"/>
      <c r="Q1419" s="774"/>
      <c r="R1419" s="774"/>
      <c r="S1419" s="774"/>
    </row>
    <row r="1420" spans="14:19" ht="29.1" customHeight="1">
      <c r="N1420" s="774"/>
      <c r="O1420" s="774"/>
      <c r="P1420" s="774"/>
      <c r="Q1420" s="774"/>
      <c r="R1420" s="774"/>
      <c r="S1420" s="774"/>
    </row>
    <row r="1421" spans="14:19" ht="29.1" customHeight="1">
      <c r="N1421" s="774"/>
      <c r="O1421" s="774"/>
      <c r="P1421" s="774"/>
      <c r="Q1421" s="774"/>
      <c r="R1421" s="774"/>
      <c r="S1421" s="774"/>
    </row>
    <row r="1422" spans="14:19" ht="29.1" customHeight="1">
      <c r="N1422" s="774"/>
      <c r="O1422" s="774"/>
      <c r="P1422" s="774"/>
      <c r="Q1422" s="774"/>
      <c r="R1422" s="774"/>
      <c r="S1422" s="774"/>
    </row>
    <row r="1423" spans="14:19" ht="29.1" customHeight="1">
      <c r="N1423" s="774"/>
      <c r="O1423" s="774"/>
      <c r="P1423" s="774"/>
      <c r="Q1423" s="774"/>
      <c r="R1423" s="774"/>
      <c r="S1423" s="774"/>
    </row>
    <row r="1424" spans="14:19" ht="29.1" customHeight="1">
      <c r="N1424" s="774"/>
      <c r="O1424" s="774"/>
      <c r="P1424" s="774"/>
      <c r="Q1424" s="774"/>
      <c r="R1424" s="774"/>
      <c r="S1424" s="774"/>
    </row>
    <row r="1425" spans="14:19" ht="29.1" customHeight="1">
      <c r="N1425" s="774"/>
      <c r="O1425" s="774"/>
      <c r="P1425" s="774"/>
      <c r="Q1425" s="774"/>
      <c r="R1425" s="774"/>
      <c r="S1425" s="774"/>
    </row>
    <row r="1426" spans="14:19" ht="29.1" customHeight="1">
      <c r="N1426" s="774"/>
      <c r="O1426" s="774"/>
      <c r="P1426" s="774"/>
      <c r="Q1426" s="774"/>
      <c r="R1426" s="774"/>
      <c r="S1426" s="774"/>
    </row>
    <row r="1427" spans="14:19" ht="29.1" customHeight="1">
      <c r="N1427" s="774"/>
      <c r="O1427" s="774"/>
      <c r="P1427" s="774"/>
      <c r="Q1427" s="774"/>
      <c r="R1427" s="774"/>
      <c r="S1427" s="774"/>
    </row>
    <row r="1428" spans="14:19" ht="29.1" customHeight="1">
      <c r="N1428" s="774"/>
      <c r="O1428" s="774"/>
      <c r="P1428" s="774"/>
      <c r="Q1428" s="774"/>
      <c r="R1428" s="774"/>
      <c r="S1428" s="774"/>
    </row>
    <row r="1429" spans="14:19" ht="29.1" customHeight="1">
      <c r="N1429" s="774"/>
      <c r="O1429" s="774"/>
      <c r="P1429" s="774"/>
      <c r="Q1429" s="774"/>
      <c r="R1429" s="774"/>
      <c r="S1429" s="774"/>
    </row>
    <row r="1430" spans="14:19" ht="29.1" customHeight="1">
      <c r="N1430" s="774"/>
      <c r="O1430" s="774"/>
      <c r="P1430" s="774"/>
      <c r="Q1430" s="774"/>
      <c r="R1430" s="774"/>
      <c r="S1430" s="774"/>
    </row>
    <row r="1431" spans="14:19" ht="29.1" customHeight="1">
      <c r="N1431" s="774"/>
      <c r="O1431" s="774"/>
      <c r="P1431" s="774"/>
      <c r="Q1431" s="774"/>
      <c r="R1431" s="774"/>
      <c r="S1431" s="774"/>
    </row>
    <row r="1432" spans="14:19" ht="29.1" customHeight="1">
      <c r="N1432" s="774"/>
      <c r="O1432" s="774"/>
      <c r="P1432" s="774"/>
      <c r="Q1432" s="774"/>
      <c r="R1432" s="774"/>
      <c r="S1432" s="774"/>
    </row>
    <row r="1433" spans="14:19" ht="29.1" customHeight="1">
      <c r="N1433" s="774"/>
      <c r="O1433" s="774"/>
      <c r="P1433" s="774"/>
      <c r="Q1433" s="774"/>
      <c r="R1433" s="774"/>
      <c r="S1433" s="774"/>
    </row>
    <row r="1434" spans="14:19" ht="29.1" customHeight="1">
      <c r="N1434" s="774"/>
      <c r="O1434" s="774"/>
      <c r="P1434" s="774"/>
      <c r="Q1434" s="774"/>
      <c r="R1434" s="774"/>
      <c r="S1434" s="774"/>
    </row>
    <row r="1435" spans="14:19" ht="29.1" customHeight="1">
      <c r="N1435" s="774"/>
      <c r="O1435" s="774"/>
      <c r="P1435" s="774"/>
      <c r="Q1435" s="774"/>
      <c r="R1435" s="774"/>
      <c r="S1435" s="774"/>
    </row>
    <row r="1436" spans="14:19" ht="29.1" customHeight="1">
      <c r="N1436" s="774"/>
      <c r="O1436" s="774"/>
      <c r="P1436" s="774"/>
      <c r="Q1436" s="774"/>
      <c r="R1436" s="774"/>
      <c r="S1436" s="774"/>
    </row>
    <row r="1437" spans="14:19" ht="29.1" customHeight="1">
      <c r="N1437" s="774"/>
      <c r="O1437" s="774"/>
      <c r="P1437" s="774"/>
      <c r="Q1437" s="774"/>
      <c r="R1437" s="774"/>
      <c r="S1437" s="774"/>
    </row>
    <row r="1438" spans="14:19" ht="29.1" customHeight="1">
      <c r="N1438" s="774"/>
      <c r="O1438" s="774"/>
      <c r="P1438" s="774"/>
      <c r="Q1438" s="774"/>
      <c r="R1438" s="774"/>
      <c r="S1438" s="774"/>
    </row>
    <row r="1439" spans="14:19" ht="29.1" customHeight="1">
      <c r="N1439" s="774"/>
      <c r="O1439" s="774"/>
      <c r="P1439" s="774"/>
      <c r="Q1439" s="774"/>
      <c r="R1439" s="774"/>
      <c r="S1439" s="774"/>
    </row>
    <row r="1440" spans="14:19" ht="29.1" customHeight="1">
      <c r="N1440" s="774"/>
      <c r="O1440" s="774"/>
      <c r="P1440" s="774"/>
      <c r="Q1440" s="774"/>
      <c r="R1440" s="774"/>
      <c r="S1440" s="774"/>
    </row>
    <row r="1441" spans="14:19" ht="29.1" customHeight="1">
      <c r="N1441" s="774"/>
      <c r="O1441" s="774"/>
      <c r="P1441" s="774"/>
      <c r="Q1441" s="774"/>
      <c r="R1441" s="774"/>
      <c r="S1441" s="774"/>
    </row>
    <row r="1442" spans="14:19" ht="29.1" customHeight="1">
      <c r="N1442" s="774"/>
      <c r="O1442" s="774"/>
      <c r="P1442" s="774"/>
      <c r="Q1442" s="774"/>
      <c r="R1442" s="774"/>
      <c r="S1442" s="774"/>
    </row>
    <row r="1443" spans="14:19" ht="29.1" customHeight="1">
      <c r="N1443" s="774"/>
      <c r="O1443" s="774"/>
      <c r="P1443" s="774"/>
      <c r="Q1443" s="774"/>
      <c r="R1443" s="774"/>
      <c r="S1443" s="774"/>
    </row>
    <row r="1444" spans="14:19" ht="29.1" customHeight="1">
      <c r="N1444" s="774"/>
      <c r="O1444" s="774"/>
      <c r="P1444" s="774"/>
      <c r="Q1444" s="774"/>
      <c r="R1444" s="774"/>
      <c r="S1444" s="774"/>
    </row>
    <row r="1445" spans="14:19" ht="29.1" customHeight="1">
      <c r="N1445" s="774"/>
      <c r="O1445" s="774"/>
      <c r="P1445" s="774"/>
      <c r="Q1445" s="774"/>
      <c r="R1445" s="774"/>
      <c r="S1445" s="774"/>
    </row>
    <row r="1446" spans="14:19" ht="29.1" customHeight="1">
      <c r="N1446" s="774"/>
      <c r="O1446" s="774"/>
      <c r="P1446" s="774"/>
      <c r="Q1446" s="774"/>
      <c r="R1446" s="774"/>
      <c r="S1446" s="774"/>
    </row>
    <row r="1447" spans="14:19" ht="29.1" customHeight="1">
      <c r="N1447" s="774"/>
      <c r="O1447" s="774"/>
      <c r="P1447" s="774"/>
      <c r="Q1447" s="774"/>
      <c r="R1447" s="774"/>
      <c r="S1447" s="774"/>
    </row>
    <row r="1448" spans="14:19" ht="29.1" customHeight="1">
      <c r="N1448" s="774"/>
      <c r="O1448" s="774"/>
      <c r="P1448" s="774"/>
      <c r="Q1448" s="774"/>
      <c r="R1448" s="774"/>
      <c r="S1448" s="774"/>
    </row>
    <row r="1449" spans="14:19" ht="29.1" customHeight="1">
      <c r="N1449" s="774"/>
      <c r="O1449" s="774"/>
      <c r="P1449" s="774"/>
      <c r="Q1449" s="774"/>
      <c r="R1449" s="774"/>
      <c r="S1449" s="774"/>
    </row>
    <row r="1450" spans="14:19" ht="29.1" customHeight="1">
      <c r="N1450" s="774"/>
      <c r="O1450" s="774"/>
      <c r="P1450" s="774"/>
      <c r="Q1450" s="774"/>
      <c r="R1450" s="774"/>
      <c r="S1450" s="774"/>
    </row>
    <row r="1451" spans="14:19" ht="29.1" customHeight="1">
      <c r="N1451" s="774"/>
      <c r="O1451" s="774"/>
      <c r="P1451" s="774"/>
      <c r="Q1451" s="774"/>
      <c r="R1451" s="774"/>
      <c r="S1451" s="774"/>
    </row>
    <row r="1452" spans="14:19" ht="29.1" customHeight="1">
      <c r="N1452" s="774"/>
      <c r="O1452" s="774"/>
      <c r="P1452" s="774"/>
      <c r="Q1452" s="774"/>
      <c r="R1452" s="774"/>
      <c r="S1452" s="774"/>
    </row>
    <row r="1453" spans="14:19" ht="29.1" customHeight="1">
      <c r="N1453" s="774"/>
      <c r="O1453" s="774"/>
      <c r="P1453" s="774"/>
      <c r="Q1453" s="774"/>
      <c r="R1453" s="774"/>
      <c r="S1453" s="774"/>
    </row>
    <row r="1454" spans="14:19" ht="29.1" customHeight="1">
      <c r="N1454" s="774"/>
      <c r="O1454" s="774"/>
      <c r="P1454" s="774"/>
      <c r="Q1454" s="774"/>
      <c r="R1454" s="774"/>
      <c r="S1454" s="774"/>
    </row>
    <row r="1455" spans="14:19" ht="29.1" customHeight="1">
      <c r="N1455" s="774"/>
      <c r="O1455" s="774"/>
      <c r="P1455" s="774"/>
      <c r="Q1455" s="774"/>
      <c r="R1455" s="774"/>
      <c r="S1455" s="774"/>
    </row>
    <row r="1456" spans="14:19" ht="29.1" customHeight="1">
      <c r="N1456" s="774"/>
      <c r="O1456" s="774"/>
      <c r="P1456" s="774"/>
      <c r="Q1456" s="774"/>
      <c r="R1456" s="774"/>
      <c r="S1456" s="774"/>
    </row>
    <row r="1457" spans="14:19" ht="29.1" customHeight="1">
      <c r="N1457" s="774"/>
      <c r="O1457" s="774"/>
      <c r="P1457" s="774"/>
      <c r="Q1457" s="774"/>
      <c r="R1457" s="774"/>
      <c r="S1457" s="774"/>
    </row>
    <row r="1458" spans="14:19" ht="29.1" customHeight="1">
      <c r="N1458" s="774"/>
      <c r="O1458" s="774"/>
      <c r="P1458" s="774"/>
      <c r="Q1458" s="774"/>
      <c r="R1458" s="774"/>
      <c r="S1458" s="774"/>
    </row>
    <row r="1459" spans="14:19" ht="29.1" customHeight="1">
      <c r="N1459" s="774"/>
      <c r="O1459" s="774"/>
      <c r="P1459" s="774"/>
      <c r="Q1459" s="774"/>
      <c r="R1459" s="774"/>
      <c r="S1459" s="774"/>
    </row>
    <row r="1460" spans="14:19" ht="29.1" customHeight="1">
      <c r="N1460" s="774"/>
      <c r="O1460" s="774"/>
      <c r="P1460" s="774"/>
      <c r="Q1460" s="774"/>
      <c r="R1460" s="774"/>
      <c r="S1460" s="774"/>
    </row>
    <row r="1461" spans="14:19" ht="29.1" customHeight="1">
      <c r="N1461" s="774"/>
      <c r="O1461" s="774"/>
      <c r="P1461" s="774"/>
      <c r="Q1461" s="774"/>
      <c r="R1461" s="774"/>
      <c r="S1461" s="774"/>
    </row>
    <row r="1462" spans="14:19" ht="29.1" customHeight="1">
      <c r="N1462" s="774"/>
      <c r="O1462" s="774"/>
      <c r="P1462" s="774"/>
      <c r="Q1462" s="774"/>
      <c r="R1462" s="774"/>
      <c r="S1462" s="774"/>
    </row>
    <row r="1463" spans="14:19" ht="29.1" customHeight="1">
      <c r="N1463" s="774"/>
      <c r="O1463" s="774"/>
      <c r="P1463" s="774"/>
      <c r="Q1463" s="774"/>
      <c r="R1463" s="774"/>
      <c r="S1463" s="774"/>
    </row>
    <row r="1464" spans="14:19" ht="29.1" customHeight="1">
      <c r="N1464" s="774"/>
      <c r="O1464" s="774"/>
      <c r="P1464" s="774"/>
      <c r="Q1464" s="774"/>
      <c r="R1464" s="774"/>
      <c r="S1464" s="774"/>
    </row>
    <row r="1465" spans="14:19" ht="29.1" customHeight="1">
      <c r="N1465" s="774"/>
      <c r="O1465" s="774"/>
      <c r="P1465" s="774"/>
      <c r="Q1465" s="774"/>
      <c r="R1465" s="774"/>
      <c r="S1465" s="774"/>
    </row>
    <row r="1466" spans="14:19" ht="29.1" customHeight="1">
      <c r="N1466" s="774"/>
      <c r="O1466" s="774"/>
      <c r="P1466" s="774"/>
      <c r="Q1466" s="774"/>
      <c r="R1466" s="774"/>
      <c r="S1466" s="774"/>
    </row>
    <row r="1467" spans="14:19" ht="29.1" customHeight="1">
      <c r="N1467" s="774"/>
      <c r="O1467" s="774"/>
      <c r="P1467" s="774"/>
      <c r="Q1467" s="774"/>
      <c r="R1467" s="774"/>
      <c r="S1467" s="774"/>
    </row>
    <row r="1468" spans="14:19" ht="29.1" customHeight="1">
      <c r="N1468" s="774"/>
      <c r="O1468" s="774"/>
      <c r="P1468" s="774"/>
      <c r="Q1468" s="774"/>
      <c r="R1468" s="774"/>
      <c r="S1468" s="774"/>
    </row>
    <row r="1469" spans="14:19" ht="29.1" customHeight="1">
      <c r="N1469" s="774"/>
      <c r="O1469" s="774"/>
      <c r="P1469" s="774"/>
      <c r="Q1469" s="774"/>
      <c r="R1469" s="774"/>
      <c r="S1469" s="774"/>
    </row>
    <row r="1470" spans="14:19" ht="29.1" customHeight="1">
      <c r="N1470" s="774"/>
      <c r="O1470" s="774"/>
      <c r="P1470" s="774"/>
      <c r="Q1470" s="774"/>
      <c r="R1470" s="774"/>
      <c r="S1470" s="774"/>
    </row>
    <row r="1471" spans="14:19" ht="29.1" customHeight="1">
      <c r="N1471" s="774"/>
      <c r="O1471" s="774"/>
      <c r="P1471" s="774"/>
      <c r="Q1471" s="774"/>
      <c r="R1471" s="774"/>
      <c r="S1471" s="774"/>
    </row>
    <row r="1472" spans="14:19" ht="29.1" customHeight="1">
      <c r="N1472" s="774"/>
      <c r="O1472" s="774"/>
      <c r="P1472" s="774"/>
      <c r="Q1472" s="774"/>
      <c r="R1472" s="774"/>
      <c r="S1472" s="774"/>
    </row>
    <row r="1473" spans="14:19" ht="29.1" customHeight="1">
      <c r="N1473" s="774"/>
      <c r="O1473" s="774"/>
      <c r="P1473" s="774"/>
      <c r="Q1473" s="774"/>
      <c r="R1473" s="774"/>
      <c r="S1473" s="774"/>
    </row>
    <row r="1474" spans="14:19" ht="29.1" customHeight="1">
      <c r="N1474" s="774"/>
      <c r="O1474" s="774"/>
      <c r="P1474" s="774"/>
      <c r="Q1474" s="774"/>
      <c r="R1474" s="774"/>
      <c r="S1474" s="774"/>
    </row>
    <row r="1475" spans="14:19" ht="29.1" customHeight="1">
      <c r="N1475" s="774"/>
      <c r="O1475" s="774"/>
      <c r="P1475" s="774"/>
      <c r="Q1475" s="774"/>
      <c r="R1475" s="774"/>
      <c r="S1475" s="774"/>
    </row>
    <row r="1476" spans="14:19" ht="29.1" customHeight="1">
      <c r="N1476" s="774"/>
      <c r="O1476" s="774"/>
      <c r="P1476" s="774"/>
      <c r="Q1476" s="774"/>
      <c r="R1476" s="774"/>
      <c r="S1476" s="774"/>
    </row>
    <row r="1477" spans="14:19" ht="29.1" customHeight="1">
      <c r="N1477" s="774"/>
      <c r="O1477" s="774"/>
      <c r="P1477" s="774"/>
      <c r="Q1477" s="774"/>
      <c r="R1477" s="774"/>
      <c r="S1477" s="774"/>
    </row>
    <row r="1478" spans="14:19" ht="29.1" customHeight="1">
      <c r="N1478" s="774"/>
      <c r="O1478" s="774"/>
      <c r="P1478" s="774"/>
      <c r="Q1478" s="774"/>
      <c r="R1478" s="774"/>
      <c r="S1478" s="774"/>
    </row>
    <row r="1479" spans="14:19" ht="29.1" customHeight="1">
      <c r="N1479" s="774"/>
      <c r="O1479" s="774"/>
      <c r="P1479" s="774"/>
      <c r="Q1479" s="774"/>
      <c r="R1479" s="774"/>
      <c r="S1479" s="774"/>
    </row>
    <row r="1480" spans="14:19" ht="29.1" customHeight="1">
      <c r="N1480" s="774"/>
      <c r="O1480" s="774"/>
      <c r="P1480" s="774"/>
      <c r="Q1480" s="774"/>
      <c r="R1480" s="774"/>
      <c r="S1480" s="774"/>
    </row>
    <row r="1481" spans="14:19" ht="29.1" customHeight="1">
      <c r="N1481" s="774"/>
      <c r="O1481" s="774"/>
      <c r="P1481" s="774"/>
      <c r="Q1481" s="774"/>
      <c r="R1481" s="774"/>
      <c r="S1481" s="774"/>
    </row>
    <row r="1482" spans="14:19" ht="29.1" customHeight="1">
      <c r="N1482" s="774"/>
      <c r="O1482" s="774"/>
      <c r="P1482" s="774"/>
      <c r="Q1482" s="774"/>
      <c r="R1482" s="774"/>
      <c r="S1482" s="774"/>
    </row>
    <row r="1483" spans="14:19" ht="29.1" customHeight="1">
      <c r="N1483" s="774"/>
      <c r="O1483" s="774"/>
      <c r="P1483" s="774"/>
      <c r="Q1483" s="774"/>
      <c r="R1483" s="774"/>
      <c r="S1483" s="774"/>
    </row>
    <row r="1484" spans="14:19" ht="29.1" customHeight="1">
      <c r="N1484" s="774"/>
      <c r="O1484" s="774"/>
      <c r="P1484" s="774"/>
      <c r="Q1484" s="774"/>
      <c r="R1484" s="774"/>
      <c r="S1484" s="774"/>
    </row>
    <row r="1485" spans="14:19" ht="29.1" customHeight="1">
      <c r="N1485" s="774"/>
      <c r="O1485" s="774"/>
      <c r="P1485" s="774"/>
      <c r="Q1485" s="774"/>
      <c r="R1485" s="774"/>
      <c r="S1485" s="774"/>
    </row>
    <row r="1486" spans="14:19" ht="29.1" customHeight="1">
      <c r="N1486" s="774"/>
      <c r="O1486" s="774"/>
      <c r="P1486" s="774"/>
      <c r="Q1486" s="774"/>
      <c r="R1486" s="774"/>
      <c r="S1486" s="774"/>
    </row>
    <row r="1487" spans="14:19" ht="29.1" customHeight="1">
      <c r="N1487" s="774"/>
      <c r="O1487" s="774"/>
      <c r="P1487" s="774"/>
      <c r="Q1487" s="774"/>
      <c r="R1487" s="774"/>
      <c r="S1487" s="774"/>
    </row>
    <row r="1488" spans="14:19" ht="29.1" customHeight="1">
      <c r="N1488" s="774"/>
      <c r="O1488" s="774"/>
      <c r="P1488" s="774"/>
      <c r="Q1488" s="774"/>
      <c r="R1488" s="774"/>
      <c r="S1488" s="774"/>
    </row>
    <row r="1489" spans="14:19" ht="29.1" customHeight="1">
      <c r="N1489" s="774"/>
      <c r="O1489" s="774"/>
      <c r="P1489" s="774"/>
      <c r="Q1489" s="774"/>
      <c r="R1489" s="774"/>
      <c r="S1489" s="774"/>
    </row>
    <row r="1490" spans="14:19" ht="29.1" customHeight="1">
      <c r="N1490" s="774"/>
      <c r="O1490" s="774"/>
      <c r="P1490" s="774"/>
      <c r="Q1490" s="774"/>
      <c r="R1490" s="774"/>
      <c r="S1490" s="774"/>
    </row>
    <row r="1491" spans="14:19" ht="29.1" customHeight="1">
      <c r="N1491" s="774"/>
      <c r="O1491" s="774"/>
      <c r="P1491" s="774"/>
      <c r="Q1491" s="774"/>
      <c r="R1491" s="774"/>
      <c r="S1491" s="774"/>
    </row>
    <row r="1492" spans="14:19" ht="29.1" customHeight="1">
      <c r="N1492" s="774"/>
      <c r="O1492" s="774"/>
      <c r="P1492" s="774"/>
      <c r="Q1492" s="774"/>
      <c r="R1492" s="774"/>
      <c r="S1492" s="774"/>
    </row>
    <row r="1493" spans="14:19" ht="29.1" customHeight="1">
      <c r="N1493" s="774"/>
      <c r="O1493" s="774"/>
      <c r="P1493" s="774"/>
      <c r="Q1493" s="774"/>
      <c r="R1493" s="774"/>
      <c r="S1493" s="774"/>
    </row>
    <row r="1494" spans="14:19" ht="29.1" customHeight="1">
      <c r="N1494" s="774"/>
      <c r="O1494" s="774"/>
      <c r="P1494" s="774"/>
      <c r="Q1494" s="774"/>
      <c r="R1494" s="774"/>
      <c r="S1494" s="774"/>
    </row>
    <row r="1495" spans="14:19" ht="29.1" customHeight="1">
      <c r="N1495" s="774"/>
      <c r="O1495" s="774"/>
      <c r="P1495" s="774"/>
      <c r="Q1495" s="774"/>
      <c r="R1495" s="774"/>
      <c r="S1495" s="774"/>
    </row>
    <row r="1496" spans="14:19" ht="29.1" customHeight="1">
      <c r="N1496" s="774"/>
      <c r="O1496" s="774"/>
      <c r="P1496" s="774"/>
      <c r="Q1496" s="774"/>
      <c r="R1496" s="774"/>
      <c r="S1496" s="774"/>
    </row>
    <row r="1497" spans="14:19" ht="29.1" customHeight="1">
      <c r="N1497" s="774"/>
      <c r="O1497" s="774"/>
      <c r="P1497" s="774"/>
      <c r="Q1497" s="774"/>
      <c r="R1497" s="774"/>
      <c r="S1497" s="774"/>
    </row>
    <row r="1498" spans="14:19" ht="29.1" customHeight="1">
      <c r="N1498" s="774"/>
      <c r="O1498" s="774"/>
      <c r="P1498" s="774"/>
      <c r="Q1498" s="774"/>
      <c r="R1498" s="774"/>
      <c r="S1498" s="774"/>
    </row>
    <row r="1499" spans="14:19" ht="29.1" customHeight="1">
      <c r="N1499" s="774"/>
      <c r="O1499" s="774"/>
      <c r="P1499" s="774"/>
      <c r="Q1499" s="774"/>
      <c r="R1499" s="774"/>
      <c r="S1499" s="774"/>
    </row>
    <row r="1500" spans="14:19" ht="29.1" customHeight="1">
      <c r="N1500" s="774"/>
      <c r="O1500" s="774"/>
      <c r="P1500" s="774"/>
      <c r="Q1500" s="774"/>
      <c r="R1500" s="774"/>
      <c r="S1500" s="774"/>
    </row>
    <row r="1501" spans="14:19" ht="29.1" customHeight="1">
      <c r="N1501" s="774"/>
      <c r="O1501" s="774"/>
      <c r="P1501" s="774"/>
      <c r="Q1501" s="774"/>
      <c r="R1501" s="774"/>
      <c r="S1501" s="774"/>
    </row>
    <row r="1502" spans="14:19" ht="29.1" customHeight="1">
      <c r="N1502" s="774"/>
      <c r="O1502" s="774"/>
      <c r="P1502" s="774"/>
      <c r="Q1502" s="774"/>
      <c r="R1502" s="774"/>
      <c r="S1502" s="774"/>
    </row>
    <row r="1503" spans="14:19" ht="29.1" customHeight="1">
      <c r="N1503" s="774"/>
      <c r="O1503" s="774"/>
      <c r="P1503" s="774"/>
      <c r="Q1503" s="774"/>
      <c r="R1503" s="774"/>
      <c r="S1503" s="774"/>
    </row>
    <row r="1504" spans="14:19" ht="29.1" customHeight="1">
      <c r="N1504" s="774"/>
      <c r="O1504" s="774"/>
      <c r="P1504" s="774"/>
      <c r="Q1504" s="774"/>
      <c r="R1504" s="774"/>
      <c r="S1504" s="774"/>
    </row>
    <row r="1505" spans="14:19" ht="29.1" customHeight="1">
      <c r="N1505" s="774"/>
      <c r="O1505" s="774"/>
      <c r="P1505" s="774"/>
      <c r="Q1505" s="774"/>
      <c r="R1505" s="774"/>
      <c r="S1505" s="774"/>
    </row>
    <row r="1506" spans="14:19" ht="29.1" customHeight="1">
      <c r="N1506" s="774"/>
      <c r="O1506" s="774"/>
      <c r="P1506" s="774"/>
      <c r="Q1506" s="774"/>
      <c r="R1506" s="774"/>
      <c r="S1506" s="774"/>
    </row>
    <row r="1507" spans="14:19" ht="29.1" customHeight="1">
      <c r="N1507" s="774"/>
      <c r="O1507" s="774"/>
      <c r="P1507" s="774"/>
      <c r="Q1507" s="774"/>
      <c r="R1507" s="774"/>
      <c r="S1507" s="774"/>
    </row>
    <row r="1508" spans="14:19" ht="29.1" customHeight="1">
      <c r="N1508" s="774"/>
      <c r="O1508" s="774"/>
      <c r="P1508" s="774"/>
      <c r="Q1508" s="774"/>
      <c r="R1508" s="774"/>
      <c r="S1508" s="774"/>
    </row>
    <row r="1509" spans="14:19" ht="29.1" customHeight="1">
      <c r="N1509" s="774"/>
      <c r="O1509" s="774"/>
      <c r="P1509" s="774"/>
      <c r="Q1509" s="774"/>
      <c r="R1509" s="774"/>
      <c r="S1509" s="774"/>
    </row>
    <row r="1510" spans="14:19" ht="29.1" customHeight="1">
      <c r="N1510" s="774"/>
      <c r="O1510" s="774"/>
      <c r="P1510" s="774"/>
      <c r="Q1510" s="774"/>
      <c r="R1510" s="774"/>
      <c r="S1510" s="774"/>
    </row>
    <row r="1511" spans="14:19" ht="29.1" customHeight="1">
      <c r="N1511" s="774"/>
      <c r="O1511" s="774"/>
      <c r="P1511" s="774"/>
      <c r="Q1511" s="774"/>
      <c r="R1511" s="774"/>
      <c r="S1511" s="774"/>
    </row>
    <row r="1512" spans="14:19" ht="29.1" customHeight="1">
      <c r="N1512" s="774"/>
      <c r="O1512" s="774"/>
      <c r="P1512" s="774"/>
      <c r="Q1512" s="774"/>
      <c r="R1512" s="774"/>
      <c r="S1512" s="774"/>
    </row>
    <row r="1513" spans="14:19" ht="29.1" customHeight="1">
      <c r="N1513" s="774"/>
      <c r="O1513" s="774"/>
      <c r="P1513" s="774"/>
      <c r="Q1513" s="774"/>
      <c r="R1513" s="774"/>
      <c r="S1513" s="774"/>
    </row>
    <row r="1514" spans="14:19" ht="29.1" customHeight="1">
      <c r="N1514" s="774"/>
      <c r="O1514" s="774"/>
      <c r="P1514" s="774"/>
      <c r="Q1514" s="774"/>
      <c r="R1514" s="774"/>
      <c r="S1514" s="774"/>
    </row>
    <row r="1515" spans="14:19" ht="29.1" customHeight="1">
      <c r="N1515" s="774"/>
      <c r="O1515" s="774"/>
      <c r="P1515" s="774"/>
      <c r="Q1515" s="774"/>
      <c r="R1515" s="774"/>
      <c r="S1515" s="774"/>
    </row>
    <row r="1516" spans="14:19" ht="29.1" customHeight="1">
      <c r="N1516" s="774"/>
      <c r="O1516" s="774"/>
      <c r="P1516" s="774"/>
      <c r="Q1516" s="774"/>
      <c r="R1516" s="774"/>
      <c r="S1516" s="774"/>
    </row>
    <row r="1517" spans="14:19" ht="29.1" customHeight="1">
      <c r="N1517" s="774"/>
      <c r="O1517" s="774"/>
      <c r="P1517" s="774"/>
      <c r="Q1517" s="774"/>
      <c r="R1517" s="774"/>
      <c r="S1517" s="774"/>
    </row>
    <row r="1518" spans="14:19" ht="29.1" customHeight="1">
      <c r="N1518" s="774"/>
      <c r="O1518" s="774"/>
      <c r="P1518" s="774"/>
      <c r="Q1518" s="774"/>
      <c r="R1518" s="774"/>
      <c r="S1518" s="774"/>
    </row>
    <row r="1519" spans="14:19" ht="29.1" customHeight="1">
      <c r="N1519" s="774"/>
      <c r="O1519" s="774"/>
      <c r="P1519" s="774"/>
      <c r="Q1519" s="774"/>
      <c r="R1519" s="774"/>
      <c r="S1519" s="774"/>
    </row>
    <row r="1520" spans="14:19" ht="29.1" customHeight="1">
      <c r="N1520" s="774"/>
      <c r="O1520" s="774"/>
      <c r="P1520" s="774"/>
      <c r="Q1520" s="774"/>
      <c r="R1520" s="774"/>
      <c r="S1520" s="774"/>
    </row>
    <row r="1521" spans="14:19" ht="29.1" customHeight="1">
      <c r="N1521" s="774"/>
      <c r="O1521" s="774"/>
      <c r="P1521" s="774"/>
      <c r="Q1521" s="774"/>
      <c r="R1521" s="774"/>
      <c r="S1521" s="774"/>
    </row>
    <row r="1522" spans="14:19" ht="29.1" customHeight="1">
      <c r="N1522" s="774"/>
      <c r="O1522" s="774"/>
      <c r="P1522" s="774"/>
      <c r="Q1522" s="774"/>
      <c r="R1522" s="774"/>
      <c r="S1522" s="774"/>
    </row>
    <row r="1523" spans="14:19" ht="29.1" customHeight="1">
      <c r="N1523" s="774"/>
      <c r="O1523" s="774"/>
      <c r="P1523" s="774"/>
      <c r="Q1523" s="774"/>
      <c r="R1523" s="774"/>
      <c r="S1523" s="774"/>
    </row>
    <row r="1524" spans="14:19" ht="29.1" customHeight="1">
      <c r="N1524" s="774"/>
      <c r="O1524" s="774"/>
      <c r="P1524" s="774"/>
      <c r="Q1524" s="774"/>
      <c r="R1524" s="774"/>
      <c r="S1524" s="774"/>
    </row>
    <row r="1525" spans="14:19" ht="29.1" customHeight="1">
      <c r="N1525" s="774"/>
      <c r="O1525" s="774"/>
      <c r="P1525" s="774"/>
      <c r="Q1525" s="774"/>
      <c r="R1525" s="774"/>
      <c r="S1525" s="774"/>
    </row>
    <row r="1526" spans="14:19" ht="29.1" customHeight="1">
      <c r="N1526" s="774"/>
      <c r="O1526" s="774"/>
      <c r="P1526" s="774"/>
      <c r="Q1526" s="774"/>
      <c r="R1526" s="774"/>
      <c r="S1526" s="774"/>
    </row>
    <row r="1527" spans="14:19" ht="29.1" customHeight="1">
      <c r="N1527" s="774"/>
      <c r="O1527" s="774"/>
      <c r="P1527" s="774"/>
      <c r="Q1527" s="774"/>
      <c r="R1527" s="774"/>
      <c r="S1527" s="774"/>
    </row>
    <row r="1528" spans="14:19" ht="29.1" customHeight="1">
      <c r="N1528" s="774"/>
      <c r="O1528" s="774"/>
      <c r="P1528" s="774"/>
      <c r="Q1528" s="774"/>
      <c r="R1528" s="774"/>
      <c r="S1528" s="774"/>
    </row>
    <row r="1529" spans="14:19" ht="29.1" customHeight="1">
      <c r="N1529" s="774"/>
      <c r="O1529" s="774"/>
      <c r="P1529" s="774"/>
      <c r="Q1529" s="774"/>
      <c r="R1529" s="774"/>
      <c r="S1529" s="774"/>
    </row>
    <row r="1530" spans="14:19" ht="29.1" customHeight="1">
      <c r="N1530" s="774"/>
      <c r="O1530" s="774"/>
      <c r="P1530" s="774"/>
      <c r="Q1530" s="774"/>
      <c r="R1530" s="774"/>
      <c r="S1530" s="774"/>
    </row>
    <row r="1531" spans="14:19" ht="29.1" customHeight="1">
      <c r="N1531" s="774"/>
      <c r="O1531" s="774"/>
      <c r="P1531" s="774"/>
      <c r="Q1531" s="774"/>
      <c r="R1531" s="774"/>
      <c r="S1531" s="774"/>
    </row>
    <row r="1532" spans="14:19" ht="29.1" customHeight="1">
      <c r="N1532" s="774"/>
      <c r="O1532" s="774"/>
      <c r="P1532" s="774"/>
      <c r="Q1532" s="774"/>
      <c r="R1532" s="774"/>
      <c r="S1532" s="774"/>
    </row>
    <row r="1533" spans="14:19" ht="29.1" customHeight="1">
      <c r="N1533" s="774"/>
      <c r="O1533" s="774"/>
      <c r="P1533" s="774"/>
      <c r="Q1533" s="774"/>
      <c r="R1533" s="774"/>
      <c r="S1533" s="774"/>
    </row>
    <row r="1534" spans="14:19" ht="29.1" customHeight="1">
      <c r="N1534" s="774"/>
      <c r="O1534" s="774"/>
      <c r="P1534" s="774"/>
      <c r="Q1534" s="774"/>
      <c r="R1534" s="774"/>
      <c r="S1534" s="774"/>
    </row>
    <row r="1535" spans="14:19" ht="29.1" customHeight="1">
      <c r="N1535" s="774"/>
      <c r="O1535" s="774"/>
      <c r="P1535" s="774"/>
      <c r="Q1535" s="774"/>
      <c r="R1535" s="774"/>
      <c r="S1535" s="774"/>
    </row>
    <row r="1536" spans="14:19" ht="29.1" customHeight="1">
      <c r="N1536" s="774"/>
      <c r="O1536" s="774"/>
      <c r="P1536" s="774"/>
      <c r="Q1536" s="774"/>
      <c r="R1536" s="774"/>
      <c r="S1536" s="774"/>
    </row>
    <row r="1537" spans="14:19" ht="29.1" customHeight="1">
      <c r="N1537" s="774"/>
      <c r="O1537" s="774"/>
      <c r="P1537" s="774"/>
      <c r="Q1537" s="774"/>
      <c r="R1537" s="774"/>
      <c r="S1537" s="774"/>
    </row>
    <row r="1538" spans="14:19" ht="29.1" customHeight="1">
      <c r="N1538" s="774"/>
      <c r="O1538" s="774"/>
      <c r="P1538" s="774"/>
      <c r="Q1538" s="774"/>
      <c r="R1538" s="774"/>
      <c r="S1538" s="774"/>
    </row>
    <row r="1539" spans="14:19" ht="29.1" customHeight="1">
      <c r="N1539" s="774"/>
      <c r="O1539" s="774"/>
      <c r="P1539" s="774"/>
      <c r="Q1539" s="774"/>
      <c r="R1539" s="774"/>
      <c r="S1539" s="774"/>
    </row>
    <row r="1540" spans="14:19" ht="29.1" customHeight="1">
      <c r="N1540" s="774"/>
      <c r="O1540" s="774"/>
      <c r="P1540" s="774"/>
      <c r="Q1540" s="774"/>
      <c r="R1540" s="774"/>
      <c r="S1540" s="774"/>
    </row>
    <row r="1541" spans="14:19" ht="29.1" customHeight="1">
      <c r="N1541" s="774"/>
      <c r="O1541" s="774"/>
      <c r="P1541" s="774"/>
      <c r="Q1541" s="774"/>
      <c r="R1541" s="774"/>
      <c r="S1541" s="774"/>
    </row>
    <row r="1542" spans="14:19" ht="29.1" customHeight="1">
      <c r="N1542" s="774"/>
      <c r="O1542" s="774"/>
      <c r="P1542" s="774"/>
      <c r="Q1542" s="774"/>
      <c r="R1542" s="774"/>
      <c r="S1542" s="774"/>
    </row>
    <row r="1543" spans="14:19" ht="29.1" customHeight="1">
      <c r="N1543" s="774"/>
      <c r="O1543" s="774"/>
      <c r="P1543" s="774"/>
      <c r="Q1543" s="774"/>
      <c r="R1543" s="774"/>
      <c r="S1543" s="774"/>
    </row>
    <row r="1544" spans="14:19" ht="29.1" customHeight="1">
      <c r="N1544" s="774"/>
      <c r="O1544" s="774"/>
      <c r="P1544" s="774"/>
      <c r="Q1544" s="774"/>
      <c r="R1544" s="774"/>
      <c r="S1544" s="774"/>
    </row>
    <row r="1545" spans="14:19" ht="29.1" customHeight="1">
      <c r="N1545" s="774"/>
      <c r="O1545" s="774"/>
      <c r="P1545" s="774"/>
      <c r="Q1545" s="774"/>
      <c r="R1545" s="774"/>
      <c r="S1545" s="774"/>
    </row>
    <row r="1546" spans="14:19" ht="29.1" customHeight="1">
      <c r="N1546" s="774"/>
      <c r="O1546" s="774"/>
      <c r="P1546" s="774"/>
      <c r="Q1546" s="774"/>
      <c r="R1546" s="774"/>
      <c r="S1546" s="774"/>
    </row>
    <row r="1547" spans="14:19" ht="29.1" customHeight="1">
      <c r="N1547" s="774"/>
      <c r="O1547" s="774"/>
      <c r="P1547" s="774"/>
      <c r="Q1547" s="774"/>
      <c r="R1547" s="774"/>
      <c r="S1547" s="774"/>
    </row>
    <row r="1548" spans="14:19" ht="29.1" customHeight="1">
      <c r="N1548" s="774"/>
      <c r="O1548" s="774"/>
      <c r="P1548" s="774"/>
      <c r="Q1548" s="774"/>
      <c r="R1548" s="774"/>
      <c r="S1548" s="774"/>
    </row>
    <row r="1549" spans="14:19" ht="29.1" customHeight="1">
      <c r="N1549" s="774"/>
      <c r="O1549" s="774"/>
      <c r="P1549" s="774"/>
      <c r="Q1549" s="774"/>
      <c r="R1549" s="774"/>
      <c r="S1549" s="774"/>
    </row>
    <row r="1550" spans="14:19" ht="29.1" customHeight="1">
      <c r="N1550" s="774"/>
      <c r="O1550" s="774"/>
      <c r="P1550" s="774"/>
      <c r="Q1550" s="774"/>
      <c r="R1550" s="774"/>
      <c r="S1550" s="774"/>
    </row>
    <row r="1551" spans="14:19" ht="29.1" customHeight="1">
      <c r="N1551" s="774"/>
      <c r="O1551" s="774"/>
      <c r="P1551" s="774"/>
      <c r="Q1551" s="774"/>
      <c r="R1551" s="774"/>
      <c r="S1551" s="774"/>
    </row>
    <row r="1552" spans="14:19" ht="29.1" customHeight="1">
      <c r="N1552" s="774"/>
      <c r="O1552" s="774"/>
      <c r="P1552" s="774"/>
      <c r="Q1552" s="774"/>
      <c r="R1552" s="774"/>
      <c r="S1552" s="774"/>
    </row>
    <row r="1553" spans="14:19" ht="29.1" customHeight="1">
      <c r="N1553" s="774"/>
      <c r="O1553" s="774"/>
      <c r="P1553" s="774"/>
      <c r="Q1553" s="774"/>
      <c r="R1553" s="774"/>
      <c r="S1553" s="774"/>
    </row>
    <row r="1554" spans="14:19" ht="29.1" customHeight="1">
      <c r="N1554" s="774"/>
      <c r="O1554" s="774"/>
      <c r="P1554" s="774"/>
      <c r="Q1554" s="774"/>
      <c r="R1554" s="774"/>
      <c r="S1554" s="774"/>
    </row>
    <row r="1555" spans="14:19" ht="29.1" customHeight="1">
      <c r="N1555" s="774"/>
      <c r="O1555" s="774"/>
      <c r="P1555" s="774"/>
      <c r="Q1555" s="774"/>
      <c r="R1555" s="774"/>
      <c r="S1555" s="774"/>
    </row>
    <row r="1556" spans="14:19" ht="29.1" customHeight="1">
      <c r="N1556" s="774"/>
      <c r="O1556" s="774"/>
      <c r="P1556" s="774"/>
      <c r="Q1556" s="774"/>
      <c r="R1556" s="774"/>
      <c r="S1556" s="774"/>
    </row>
    <row r="1557" spans="14:19" ht="29.1" customHeight="1">
      <c r="N1557" s="774"/>
      <c r="O1557" s="774"/>
      <c r="P1557" s="774"/>
      <c r="Q1557" s="774"/>
      <c r="R1557" s="774"/>
      <c r="S1557" s="774"/>
    </row>
    <row r="1558" spans="14:19" ht="29.1" customHeight="1">
      <c r="N1558" s="774"/>
      <c r="O1558" s="774"/>
      <c r="P1558" s="774"/>
      <c r="Q1558" s="774"/>
      <c r="R1558" s="774"/>
      <c r="S1558" s="774"/>
    </row>
    <row r="1559" spans="14:19" ht="29.1" customHeight="1">
      <c r="N1559" s="774"/>
      <c r="O1559" s="774"/>
      <c r="P1559" s="774"/>
      <c r="Q1559" s="774"/>
      <c r="R1559" s="774"/>
      <c r="S1559" s="774"/>
    </row>
    <row r="1560" spans="14:19" ht="29.1" customHeight="1">
      <c r="N1560" s="774"/>
      <c r="O1560" s="774"/>
      <c r="P1560" s="774"/>
      <c r="Q1560" s="774"/>
      <c r="R1560" s="774"/>
      <c r="S1560" s="774"/>
    </row>
    <row r="1561" spans="14:19" ht="29.1" customHeight="1">
      <c r="N1561" s="774"/>
      <c r="O1561" s="774"/>
      <c r="P1561" s="774"/>
      <c r="Q1561" s="774"/>
      <c r="R1561" s="774"/>
      <c r="S1561" s="774"/>
    </row>
    <row r="1562" spans="14:19" ht="29.1" customHeight="1">
      <c r="N1562" s="774"/>
      <c r="O1562" s="774"/>
      <c r="P1562" s="774"/>
      <c r="Q1562" s="774"/>
      <c r="R1562" s="774"/>
      <c r="S1562" s="774"/>
    </row>
    <row r="1563" spans="14:19" ht="29.1" customHeight="1">
      <c r="N1563" s="774"/>
      <c r="O1563" s="774"/>
      <c r="P1563" s="774"/>
      <c r="Q1563" s="774"/>
      <c r="R1563" s="774"/>
      <c r="S1563" s="774"/>
    </row>
    <row r="1564" spans="14:19" ht="29.1" customHeight="1">
      <c r="N1564" s="774"/>
      <c r="O1564" s="774"/>
      <c r="P1564" s="774"/>
      <c r="Q1564" s="774"/>
      <c r="R1564" s="774"/>
      <c r="S1564" s="774"/>
    </row>
    <row r="1565" spans="14:19" ht="29.1" customHeight="1">
      <c r="N1565" s="774"/>
      <c r="O1565" s="774"/>
      <c r="P1565" s="774"/>
      <c r="Q1565" s="774"/>
      <c r="R1565" s="774"/>
      <c r="S1565" s="774"/>
    </row>
    <row r="1566" spans="14:19" ht="29.1" customHeight="1">
      <c r="N1566" s="774"/>
      <c r="O1566" s="774"/>
      <c r="P1566" s="774"/>
      <c r="Q1566" s="774"/>
      <c r="R1566" s="774"/>
      <c r="S1566" s="774"/>
    </row>
    <row r="1567" spans="14:19" ht="29.1" customHeight="1">
      <c r="N1567" s="774"/>
      <c r="O1567" s="774"/>
      <c r="P1567" s="774"/>
      <c r="Q1567" s="774"/>
      <c r="R1567" s="774"/>
      <c r="S1567" s="774"/>
    </row>
    <row r="1568" spans="14:19" ht="29.1" customHeight="1">
      <c r="N1568" s="774"/>
      <c r="O1568" s="774"/>
      <c r="P1568" s="774"/>
      <c r="Q1568" s="774"/>
      <c r="R1568" s="774"/>
      <c r="S1568" s="774"/>
    </row>
    <row r="1569" spans="14:19" ht="29.1" customHeight="1">
      <c r="N1569" s="774"/>
      <c r="O1569" s="774"/>
      <c r="P1569" s="774"/>
      <c r="Q1569" s="774"/>
      <c r="R1569" s="774"/>
      <c r="S1569" s="774"/>
    </row>
    <row r="1570" spans="14:19" ht="29.1" customHeight="1">
      <c r="N1570" s="774"/>
      <c r="O1570" s="774"/>
      <c r="P1570" s="774"/>
      <c r="Q1570" s="774"/>
      <c r="R1570" s="774"/>
      <c r="S1570" s="774"/>
    </row>
    <row r="1571" spans="14:19" ht="29.1" customHeight="1">
      <c r="N1571" s="774"/>
      <c r="O1571" s="774"/>
      <c r="P1571" s="774"/>
      <c r="Q1571" s="774"/>
      <c r="R1571" s="774"/>
      <c r="S1571" s="774"/>
    </row>
    <row r="1572" spans="14:19" ht="29.1" customHeight="1">
      <c r="N1572" s="774"/>
      <c r="O1572" s="774"/>
      <c r="P1572" s="774"/>
      <c r="Q1572" s="774"/>
      <c r="R1572" s="774"/>
      <c r="S1572" s="774"/>
    </row>
    <row r="1573" spans="14:19" ht="29.1" customHeight="1">
      <c r="N1573" s="774"/>
      <c r="O1573" s="774"/>
      <c r="P1573" s="774"/>
      <c r="Q1573" s="774"/>
      <c r="R1573" s="774"/>
      <c r="S1573" s="774"/>
    </row>
    <row r="1574" spans="14:19" ht="29.1" customHeight="1">
      <c r="N1574" s="774"/>
      <c r="O1574" s="774"/>
      <c r="P1574" s="774"/>
      <c r="Q1574" s="774"/>
      <c r="R1574" s="774"/>
      <c r="S1574" s="774"/>
    </row>
    <row r="1575" spans="14:19" ht="29.1" customHeight="1">
      <c r="N1575" s="774"/>
      <c r="O1575" s="774"/>
      <c r="P1575" s="774"/>
      <c r="Q1575" s="774"/>
      <c r="R1575" s="774"/>
      <c r="S1575" s="774"/>
    </row>
    <row r="1576" spans="14:19" ht="29.1" customHeight="1">
      <c r="N1576" s="774"/>
      <c r="O1576" s="774"/>
      <c r="P1576" s="774"/>
      <c r="Q1576" s="774"/>
      <c r="R1576" s="774"/>
      <c r="S1576" s="774"/>
    </row>
    <row r="1577" spans="14:19" ht="29.1" customHeight="1">
      <c r="N1577" s="774"/>
      <c r="O1577" s="774"/>
      <c r="P1577" s="774"/>
      <c r="Q1577" s="774"/>
      <c r="R1577" s="774"/>
      <c r="S1577" s="774"/>
    </row>
    <row r="1578" spans="14:19" ht="29.1" customHeight="1">
      <c r="N1578" s="774"/>
      <c r="O1578" s="774"/>
      <c r="P1578" s="774"/>
      <c r="Q1578" s="774"/>
      <c r="R1578" s="774"/>
      <c r="S1578" s="774"/>
    </row>
    <row r="1579" spans="14:19" ht="29.1" customHeight="1">
      <c r="N1579" s="774"/>
      <c r="O1579" s="774"/>
      <c r="P1579" s="774"/>
      <c r="Q1579" s="774"/>
      <c r="R1579" s="774"/>
      <c r="S1579" s="774"/>
    </row>
    <row r="1580" spans="14:19" ht="29.1" customHeight="1">
      <c r="N1580" s="774"/>
      <c r="O1580" s="774"/>
      <c r="P1580" s="774"/>
      <c r="Q1580" s="774"/>
      <c r="R1580" s="774"/>
      <c r="S1580" s="774"/>
    </row>
    <row r="1581" spans="14:19" ht="29.1" customHeight="1">
      <c r="N1581" s="774"/>
      <c r="O1581" s="774"/>
      <c r="P1581" s="774"/>
      <c r="Q1581" s="774"/>
      <c r="R1581" s="774"/>
      <c r="S1581" s="774"/>
    </row>
    <row r="1582" spans="14:19" ht="29.1" customHeight="1">
      <c r="N1582" s="774"/>
      <c r="O1582" s="774"/>
      <c r="P1582" s="774"/>
      <c r="Q1582" s="774"/>
      <c r="R1582" s="774"/>
      <c r="S1582" s="774"/>
    </row>
    <row r="1583" spans="14:19" ht="29.1" customHeight="1">
      <c r="N1583" s="774"/>
      <c r="O1583" s="774"/>
      <c r="P1583" s="774"/>
      <c r="Q1583" s="774"/>
      <c r="R1583" s="774"/>
      <c r="S1583" s="774"/>
    </row>
    <row r="1584" spans="14:19" ht="29.1" customHeight="1">
      <c r="N1584" s="774"/>
      <c r="O1584" s="774"/>
      <c r="P1584" s="774"/>
      <c r="Q1584" s="774"/>
      <c r="R1584" s="774"/>
      <c r="S1584" s="774"/>
    </row>
    <row r="1585" spans="14:19" ht="29.1" customHeight="1">
      <c r="N1585" s="774"/>
      <c r="O1585" s="774"/>
      <c r="P1585" s="774"/>
      <c r="Q1585" s="774"/>
      <c r="R1585" s="774"/>
      <c r="S1585" s="774"/>
    </row>
    <row r="1586" spans="14:19" ht="29.1" customHeight="1">
      <c r="N1586" s="774"/>
      <c r="O1586" s="774"/>
      <c r="P1586" s="774"/>
      <c r="Q1586" s="774"/>
      <c r="R1586" s="774"/>
      <c r="S1586" s="774"/>
    </row>
    <row r="1587" spans="14:19" ht="29.1" customHeight="1">
      <c r="N1587" s="774"/>
      <c r="O1587" s="774"/>
      <c r="P1587" s="774"/>
      <c r="Q1587" s="774"/>
      <c r="R1587" s="774"/>
      <c r="S1587" s="774"/>
    </row>
    <row r="1588" spans="14:19" ht="29.1" customHeight="1">
      <c r="N1588" s="774"/>
      <c r="O1588" s="774"/>
      <c r="P1588" s="774"/>
      <c r="Q1588" s="774"/>
      <c r="R1588" s="774"/>
      <c r="S1588" s="774"/>
    </row>
    <row r="1589" spans="14:19" ht="29.1" customHeight="1">
      <c r="N1589" s="774"/>
      <c r="O1589" s="774"/>
      <c r="P1589" s="774"/>
      <c r="Q1589" s="774"/>
      <c r="R1589" s="774"/>
      <c r="S1589" s="774"/>
    </row>
    <row r="1590" spans="14:19" ht="29.1" customHeight="1">
      <c r="N1590" s="774"/>
      <c r="O1590" s="774"/>
      <c r="P1590" s="774"/>
      <c r="Q1590" s="774"/>
      <c r="R1590" s="774"/>
      <c r="S1590" s="774"/>
    </row>
    <row r="1591" spans="14:19" ht="29.1" customHeight="1">
      <c r="N1591" s="774"/>
      <c r="O1591" s="774"/>
      <c r="P1591" s="774"/>
      <c r="Q1591" s="774"/>
      <c r="R1591" s="774"/>
      <c r="S1591" s="774"/>
    </row>
    <row r="1592" spans="14:19" ht="29.1" customHeight="1">
      <c r="N1592" s="774"/>
      <c r="O1592" s="774"/>
      <c r="P1592" s="774"/>
      <c r="Q1592" s="774"/>
      <c r="R1592" s="774"/>
      <c r="S1592" s="774"/>
    </row>
    <row r="1593" spans="14:19" ht="29.1" customHeight="1">
      <c r="N1593" s="774"/>
      <c r="O1593" s="774"/>
      <c r="P1593" s="774"/>
      <c r="Q1593" s="774"/>
      <c r="R1593" s="774"/>
      <c r="S1593" s="774"/>
    </row>
    <row r="1594" spans="14:19" ht="29.1" customHeight="1">
      <c r="N1594" s="774"/>
      <c r="O1594" s="774"/>
      <c r="P1594" s="774"/>
      <c r="Q1594" s="774"/>
      <c r="R1594" s="774"/>
      <c r="S1594" s="774"/>
    </row>
    <row r="1595" spans="14:19" ht="29.1" customHeight="1">
      <c r="N1595" s="774"/>
      <c r="O1595" s="774"/>
      <c r="P1595" s="774"/>
      <c r="Q1595" s="774"/>
      <c r="R1595" s="774"/>
      <c r="S1595" s="774"/>
    </row>
    <row r="1596" spans="14:19" ht="29.1" customHeight="1">
      <c r="N1596" s="774"/>
      <c r="O1596" s="774"/>
      <c r="P1596" s="774"/>
      <c r="Q1596" s="774"/>
      <c r="R1596" s="774"/>
      <c r="S1596" s="774"/>
    </row>
    <row r="1597" spans="14:19" ht="29.1" customHeight="1">
      <c r="N1597" s="774"/>
      <c r="O1597" s="774"/>
      <c r="P1597" s="774"/>
      <c r="Q1597" s="774"/>
      <c r="R1597" s="774"/>
      <c r="S1597" s="774"/>
    </row>
    <row r="1598" spans="14:19" ht="29.1" customHeight="1">
      <c r="N1598" s="774"/>
      <c r="O1598" s="774"/>
      <c r="P1598" s="774"/>
      <c r="Q1598" s="774"/>
      <c r="R1598" s="774"/>
      <c r="S1598" s="774"/>
    </row>
    <row r="1599" spans="14:19" ht="29.1" customHeight="1">
      <c r="N1599" s="774"/>
      <c r="O1599" s="774"/>
      <c r="P1599" s="774"/>
      <c r="Q1599" s="774"/>
      <c r="R1599" s="774"/>
      <c r="S1599" s="774"/>
    </row>
    <row r="1600" spans="14:19" ht="29.1" customHeight="1">
      <c r="N1600" s="774"/>
      <c r="O1600" s="774"/>
      <c r="P1600" s="774"/>
      <c r="Q1600" s="774"/>
      <c r="R1600" s="774"/>
      <c r="S1600" s="774"/>
    </row>
    <row r="1601" spans="14:19" ht="29.1" customHeight="1">
      <c r="N1601" s="774"/>
      <c r="O1601" s="774"/>
      <c r="P1601" s="774"/>
      <c r="Q1601" s="774"/>
      <c r="R1601" s="774"/>
      <c r="S1601" s="774"/>
    </row>
    <row r="1602" spans="14:19" ht="29.1" customHeight="1">
      <c r="N1602" s="774"/>
      <c r="O1602" s="774"/>
      <c r="P1602" s="774"/>
      <c r="Q1602" s="774"/>
      <c r="R1602" s="774"/>
      <c r="S1602" s="774"/>
    </row>
    <row r="1603" spans="14:19" ht="29.1" customHeight="1">
      <c r="N1603" s="774"/>
      <c r="O1603" s="774"/>
      <c r="P1603" s="774"/>
      <c r="Q1603" s="774"/>
      <c r="R1603" s="774"/>
      <c r="S1603" s="774"/>
    </row>
    <row r="1604" spans="14:19" ht="29.1" customHeight="1">
      <c r="N1604" s="774"/>
      <c r="O1604" s="774"/>
      <c r="P1604" s="774"/>
      <c r="Q1604" s="774"/>
      <c r="R1604" s="774"/>
      <c r="S1604" s="774"/>
    </row>
    <row r="1605" spans="14:19" ht="29.1" customHeight="1">
      <c r="N1605" s="774"/>
      <c r="O1605" s="774"/>
      <c r="P1605" s="774"/>
      <c r="Q1605" s="774"/>
      <c r="R1605" s="774"/>
      <c r="S1605" s="774"/>
    </row>
    <row r="1606" spans="14:19" ht="29.1" customHeight="1">
      <c r="N1606" s="774"/>
      <c r="O1606" s="774"/>
      <c r="P1606" s="774"/>
      <c r="Q1606" s="774"/>
      <c r="R1606" s="774"/>
      <c r="S1606" s="774"/>
    </row>
    <row r="1607" spans="14:19" ht="29.1" customHeight="1">
      <c r="N1607" s="774"/>
      <c r="O1607" s="774"/>
      <c r="P1607" s="774"/>
      <c r="Q1607" s="774"/>
      <c r="R1607" s="774"/>
      <c r="S1607" s="774"/>
    </row>
    <row r="1608" spans="14:19" ht="29.1" customHeight="1">
      <c r="N1608" s="774"/>
      <c r="O1608" s="774"/>
      <c r="P1608" s="774"/>
      <c r="Q1608" s="774"/>
      <c r="R1608" s="774"/>
      <c r="S1608" s="774"/>
    </row>
    <row r="1609" spans="14:19" ht="29.1" customHeight="1">
      <c r="N1609" s="774"/>
      <c r="O1609" s="774"/>
      <c r="P1609" s="774"/>
      <c r="Q1609" s="774"/>
      <c r="R1609" s="774"/>
      <c r="S1609" s="774"/>
    </row>
    <row r="1610" spans="14:19" ht="29.1" customHeight="1">
      <c r="N1610" s="774"/>
      <c r="O1610" s="774"/>
      <c r="P1610" s="774"/>
      <c r="Q1610" s="774"/>
      <c r="R1610" s="774"/>
      <c r="S1610" s="774"/>
    </row>
    <row r="1611" spans="14:19" ht="29.1" customHeight="1">
      <c r="N1611" s="774"/>
      <c r="O1611" s="774"/>
      <c r="P1611" s="774"/>
      <c r="Q1611" s="774"/>
      <c r="R1611" s="774"/>
      <c r="S1611" s="774"/>
    </row>
    <row r="1612" spans="14:19" ht="29.1" customHeight="1">
      <c r="N1612" s="774"/>
      <c r="O1612" s="774"/>
      <c r="P1612" s="774"/>
      <c r="Q1612" s="774"/>
      <c r="R1612" s="774"/>
      <c r="S1612" s="774"/>
    </row>
    <row r="1613" spans="14:19" ht="29.1" customHeight="1">
      <c r="N1613" s="774"/>
      <c r="O1613" s="774"/>
      <c r="P1613" s="774"/>
      <c r="Q1613" s="774"/>
      <c r="R1613" s="774"/>
      <c r="S1613" s="774"/>
    </row>
    <row r="1614" spans="14:19" ht="29.1" customHeight="1">
      <c r="N1614" s="774"/>
      <c r="O1614" s="774"/>
      <c r="P1614" s="774"/>
      <c r="Q1614" s="774"/>
      <c r="R1614" s="774"/>
      <c r="S1614" s="774"/>
    </row>
    <row r="1615" spans="14:19" ht="29.1" customHeight="1">
      <c r="N1615" s="774"/>
      <c r="O1615" s="774"/>
      <c r="P1615" s="774"/>
      <c r="Q1615" s="774"/>
      <c r="R1615" s="774"/>
      <c r="S1615" s="774"/>
    </row>
    <row r="1616" spans="14:19" ht="29.1" customHeight="1">
      <c r="N1616" s="774"/>
      <c r="O1616" s="774"/>
      <c r="P1616" s="774"/>
      <c r="Q1616" s="774"/>
      <c r="R1616" s="774"/>
      <c r="S1616" s="774"/>
    </row>
    <row r="1617" spans="14:19" ht="29.1" customHeight="1">
      <c r="N1617" s="774"/>
      <c r="O1617" s="774"/>
      <c r="P1617" s="774"/>
      <c r="Q1617" s="774"/>
      <c r="R1617" s="774"/>
      <c r="S1617" s="774"/>
    </row>
    <row r="1618" spans="14:19" ht="29.1" customHeight="1">
      <c r="N1618" s="774"/>
      <c r="O1618" s="774"/>
      <c r="P1618" s="774"/>
      <c r="Q1618" s="774"/>
      <c r="R1618" s="774"/>
      <c r="S1618" s="774"/>
    </row>
    <row r="1619" spans="14:19" ht="29.1" customHeight="1">
      <c r="N1619" s="774"/>
      <c r="O1619" s="774"/>
      <c r="P1619" s="774"/>
      <c r="Q1619" s="774"/>
      <c r="R1619" s="774"/>
      <c r="S1619" s="774"/>
    </row>
    <row r="1620" spans="14:19" ht="29.1" customHeight="1">
      <c r="N1620" s="774"/>
      <c r="O1620" s="774"/>
      <c r="P1620" s="774"/>
      <c r="Q1620" s="774"/>
      <c r="R1620" s="774"/>
      <c r="S1620" s="774"/>
    </row>
    <row r="1621" spans="14:19" ht="29.1" customHeight="1">
      <c r="N1621" s="774"/>
      <c r="O1621" s="774"/>
      <c r="P1621" s="774"/>
      <c r="Q1621" s="774"/>
      <c r="R1621" s="774"/>
      <c r="S1621" s="774"/>
    </row>
    <row r="1622" spans="14:19" ht="29.1" customHeight="1">
      <c r="N1622" s="774"/>
      <c r="O1622" s="774"/>
      <c r="P1622" s="774"/>
      <c r="Q1622" s="774"/>
      <c r="R1622" s="774"/>
      <c r="S1622" s="774"/>
    </row>
    <row r="1623" spans="14:19" ht="29.1" customHeight="1">
      <c r="N1623" s="774"/>
      <c r="O1623" s="774"/>
      <c r="P1623" s="774"/>
      <c r="Q1623" s="774"/>
      <c r="R1623" s="774"/>
      <c r="S1623" s="774"/>
    </row>
    <row r="1624" spans="14:19" ht="29.1" customHeight="1">
      <c r="N1624" s="774"/>
      <c r="O1624" s="774"/>
      <c r="P1624" s="774"/>
      <c r="Q1624" s="774"/>
      <c r="R1624" s="774"/>
      <c r="S1624" s="774"/>
    </row>
    <row r="1625" spans="14:19" ht="29.1" customHeight="1">
      <c r="N1625" s="774"/>
      <c r="O1625" s="774"/>
      <c r="P1625" s="774"/>
      <c r="Q1625" s="774"/>
      <c r="R1625" s="774"/>
      <c r="S1625" s="774"/>
    </row>
    <row r="1626" spans="14:19" ht="29.1" customHeight="1">
      <c r="N1626" s="774"/>
      <c r="O1626" s="774"/>
      <c r="P1626" s="774"/>
      <c r="Q1626" s="774"/>
      <c r="R1626" s="774"/>
      <c r="S1626" s="774"/>
    </row>
    <row r="1627" spans="14:19" ht="29.1" customHeight="1">
      <c r="N1627" s="774"/>
      <c r="O1627" s="774"/>
      <c r="P1627" s="774"/>
      <c r="Q1627" s="774"/>
      <c r="R1627" s="774"/>
      <c r="S1627" s="774"/>
    </row>
    <row r="1628" spans="14:19" ht="29.1" customHeight="1">
      <c r="N1628" s="774"/>
      <c r="O1628" s="774"/>
      <c r="P1628" s="774"/>
      <c r="Q1628" s="774"/>
      <c r="R1628" s="774"/>
      <c r="S1628" s="774"/>
    </row>
    <row r="1629" spans="14:19" ht="29.1" customHeight="1">
      <c r="N1629" s="774"/>
      <c r="O1629" s="774"/>
      <c r="P1629" s="774"/>
      <c r="Q1629" s="774"/>
      <c r="R1629" s="774"/>
      <c r="S1629" s="774"/>
    </row>
    <row r="1630" spans="14:19" ht="29.1" customHeight="1">
      <c r="N1630" s="774"/>
      <c r="O1630" s="774"/>
      <c r="P1630" s="774"/>
      <c r="Q1630" s="774"/>
      <c r="R1630" s="774"/>
      <c r="S1630" s="774"/>
    </row>
    <row r="1631" spans="14:19" ht="29.1" customHeight="1">
      <c r="N1631" s="774"/>
      <c r="O1631" s="774"/>
      <c r="P1631" s="774"/>
      <c r="Q1631" s="774"/>
      <c r="R1631" s="774"/>
      <c r="S1631" s="774"/>
    </row>
    <row r="1632" spans="14:19" ht="29.1" customHeight="1">
      <c r="N1632" s="774"/>
      <c r="O1632" s="774"/>
      <c r="P1632" s="774"/>
      <c r="Q1632" s="774"/>
      <c r="R1632" s="774"/>
      <c r="S1632" s="774"/>
    </row>
    <row r="1633" spans="14:19" ht="29.1" customHeight="1">
      <c r="N1633" s="774"/>
      <c r="O1633" s="774"/>
      <c r="P1633" s="774"/>
      <c r="Q1633" s="774"/>
      <c r="R1633" s="774"/>
      <c r="S1633" s="774"/>
    </row>
    <row r="1634" spans="14:19" ht="29.1" customHeight="1">
      <c r="N1634" s="774"/>
      <c r="O1634" s="774"/>
      <c r="P1634" s="774"/>
      <c r="Q1634" s="774"/>
      <c r="R1634" s="774"/>
      <c r="S1634" s="774"/>
    </row>
    <row r="1635" spans="14:19" ht="29.1" customHeight="1">
      <c r="N1635" s="774"/>
      <c r="O1635" s="774"/>
      <c r="P1635" s="774"/>
      <c r="Q1635" s="774"/>
      <c r="R1635" s="774"/>
      <c r="S1635" s="774"/>
    </row>
    <row r="1636" spans="14:19" ht="29.1" customHeight="1">
      <c r="N1636" s="774"/>
      <c r="O1636" s="774"/>
      <c r="P1636" s="774"/>
      <c r="Q1636" s="774"/>
      <c r="R1636" s="774"/>
      <c r="S1636" s="774"/>
    </row>
    <row r="1637" spans="14:19" ht="29.1" customHeight="1">
      <c r="N1637" s="774"/>
      <c r="O1637" s="774"/>
      <c r="P1637" s="774"/>
      <c r="Q1637" s="774"/>
      <c r="R1637" s="774"/>
      <c r="S1637" s="774"/>
    </row>
    <row r="1638" spans="14:19" ht="29.1" customHeight="1">
      <c r="N1638" s="774"/>
      <c r="O1638" s="774"/>
      <c r="P1638" s="774"/>
      <c r="Q1638" s="774"/>
      <c r="R1638" s="774"/>
      <c r="S1638" s="774"/>
    </row>
    <row r="1639" spans="14:19" ht="29.1" customHeight="1">
      <c r="N1639" s="774"/>
      <c r="O1639" s="774"/>
      <c r="P1639" s="774"/>
      <c r="Q1639" s="774"/>
      <c r="R1639" s="774"/>
      <c r="S1639" s="774"/>
    </row>
    <row r="1640" spans="14:19" ht="29.1" customHeight="1">
      <c r="N1640" s="774"/>
      <c r="O1640" s="774"/>
      <c r="P1640" s="774"/>
      <c r="Q1640" s="774"/>
      <c r="R1640" s="774"/>
      <c r="S1640" s="774"/>
    </row>
    <row r="1641" spans="14:19" ht="29.1" customHeight="1">
      <c r="N1641" s="774"/>
      <c r="O1641" s="774"/>
      <c r="P1641" s="774"/>
      <c r="Q1641" s="774"/>
      <c r="R1641" s="774"/>
      <c r="S1641" s="774"/>
    </row>
    <row r="1642" spans="14:19" ht="29.1" customHeight="1">
      <c r="N1642" s="774"/>
      <c r="O1642" s="774"/>
      <c r="P1642" s="774"/>
      <c r="Q1642" s="774"/>
      <c r="R1642" s="774"/>
      <c r="S1642" s="774"/>
    </row>
    <row r="1643" spans="14:19" ht="29.1" customHeight="1">
      <c r="N1643" s="774"/>
      <c r="O1643" s="774"/>
      <c r="P1643" s="774"/>
      <c r="Q1643" s="774"/>
      <c r="R1643" s="774"/>
      <c r="S1643" s="774"/>
    </row>
    <row r="1644" spans="14:19" ht="29.1" customHeight="1">
      <c r="N1644" s="774"/>
      <c r="O1644" s="774"/>
      <c r="P1644" s="774"/>
      <c r="Q1644" s="774"/>
      <c r="R1644" s="774"/>
      <c r="S1644" s="774"/>
    </row>
    <row r="1645" spans="14:19" ht="29.1" customHeight="1">
      <c r="N1645" s="774"/>
      <c r="O1645" s="774"/>
      <c r="P1645" s="774"/>
      <c r="Q1645" s="774"/>
      <c r="R1645" s="774"/>
      <c r="S1645" s="774"/>
    </row>
    <row r="1646" spans="14:19" ht="29.1" customHeight="1">
      <c r="N1646" s="774"/>
      <c r="O1646" s="774"/>
      <c r="P1646" s="774"/>
      <c r="Q1646" s="774"/>
      <c r="R1646" s="774"/>
      <c r="S1646" s="774"/>
    </row>
    <row r="1647" spans="14:19" ht="29.1" customHeight="1">
      <c r="N1647" s="774"/>
      <c r="O1647" s="774"/>
      <c r="P1647" s="774"/>
      <c r="Q1647" s="774"/>
      <c r="R1647" s="774"/>
      <c r="S1647" s="774"/>
    </row>
    <row r="1648" spans="14:19" ht="29.1" customHeight="1">
      <c r="N1648" s="774"/>
      <c r="O1648" s="774"/>
      <c r="P1648" s="774"/>
      <c r="Q1648" s="774"/>
      <c r="R1648" s="774"/>
      <c r="S1648" s="774"/>
    </row>
    <row r="1649" spans="14:19" ht="29.1" customHeight="1">
      <c r="N1649" s="774"/>
      <c r="O1649" s="774"/>
      <c r="P1649" s="774"/>
      <c r="Q1649" s="774"/>
      <c r="R1649" s="774"/>
      <c r="S1649" s="774"/>
    </row>
    <row r="1650" spans="14:19" ht="29.1" customHeight="1">
      <c r="N1650" s="774"/>
      <c r="O1650" s="774"/>
      <c r="P1650" s="774"/>
      <c r="Q1650" s="774"/>
      <c r="R1650" s="774"/>
      <c r="S1650" s="774"/>
    </row>
    <row r="1651" spans="14:19" ht="29.1" customHeight="1">
      <c r="N1651" s="774"/>
      <c r="O1651" s="774"/>
      <c r="P1651" s="774"/>
      <c r="Q1651" s="774"/>
      <c r="R1651" s="774"/>
      <c r="S1651" s="774"/>
    </row>
    <row r="1652" spans="14:19" ht="29.1" customHeight="1">
      <c r="N1652" s="774"/>
      <c r="O1652" s="774"/>
      <c r="P1652" s="774"/>
      <c r="Q1652" s="774"/>
      <c r="R1652" s="774"/>
      <c r="S1652" s="774"/>
    </row>
    <row r="1653" spans="14:19" ht="29.1" customHeight="1">
      <c r="N1653" s="774"/>
      <c r="O1653" s="774"/>
      <c r="P1653" s="774"/>
      <c r="Q1653" s="774"/>
      <c r="R1653" s="774"/>
      <c r="S1653" s="774"/>
    </row>
    <row r="1654" spans="14:19" ht="29.1" customHeight="1">
      <c r="N1654" s="774"/>
      <c r="O1654" s="774"/>
      <c r="P1654" s="774"/>
      <c r="Q1654" s="774"/>
      <c r="R1654" s="774"/>
      <c r="S1654" s="774"/>
    </row>
    <row r="1655" spans="14:19" ht="29.1" customHeight="1">
      <c r="N1655" s="774"/>
      <c r="O1655" s="774"/>
      <c r="P1655" s="774"/>
      <c r="Q1655" s="774"/>
      <c r="R1655" s="774"/>
      <c r="S1655" s="774"/>
    </row>
    <row r="1656" spans="14:19" ht="29.1" customHeight="1">
      <c r="N1656" s="774"/>
      <c r="O1656" s="774"/>
      <c r="P1656" s="774"/>
      <c r="Q1656" s="774"/>
      <c r="R1656" s="774"/>
      <c r="S1656" s="774"/>
    </row>
    <row r="1657" spans="14:19" ht="29.1" customHeight="1">
      <c r="N1657" s="774"/>
      <c r="O1657" s="774"/>
      <c r="P1657" s="774"/>
      <c r="Q1657" s="774"/>
      <c r="R1657" s="774"/>
      <c r="S1657" s="774"/>
    </row>
    <row r="1658" spans="14:19" ht="29.1" customHeight="1">
      <c r="N1658" s="774"/>
      <c r="O1658" s="774"/>
      <c r="P1658" s="774"/>
      <c r="Q1658" s="774"/>
      <c r="R1658" s="774"/>
      <c r="S1658" s="774"/>
    </row>
    <row r="1659" spans="14:19" ht="29.1" customHeight="1">
      <c r="N1659" s="774"/>
      <c r="O1659" s="774"/>
      <c r="P1659" s="774"/>
      <c r="Q1659" s="774"/>
      <c r="R1659" s="774"/>
      <c r="S1659" s="774"/>
    </row>
    <row r="1660" spans="14:19" ht="29.1" customHeight="1">
      <c r="N1660" s="774"/>
      <c r="O1660" s="774"/>
      <c r="P1660" s="774"/>
      <c r="Q1660" s="774"/>
      <c r="R1660" s="774"/>
      <c r="S1660" s="774"/>
    </row>
    <row r="1661" spans="14:19" ht="29.1" customHeight="1">
      <c r="N1661" s="774"/>
      <c r="O1661" s="774"/>
      <c r="P1661" s="774"/>
      <c r="Q1661" s="774"/>
      <c r="R1661" s="774"/>
      <c r="S1661" s="774"/>
    </row>
    <row r="1662" spans="14:19" ht="29.1" customHeight="1">
      <c r="N1662" s="774"/>
      <c r="O1662" s="774"/>
      <c r="P1662" s="774"/>
      <c r="Q1662" s="774"/>
      <c r="R1662" s="774"/>
      <c r="S1662" s="774"/>
    </row>
    <row r="1663" spans="14:19" ht="29.1" customHeight="1">
      <c r="N1663" s="774"/>
      <c r="O1663" s="774"/>
      <c r="P1663" s="774"/>
      <c r="Q1663" s="774"/>
      <c r="R1663" s="774"/>
      <c r="S1663" s="774"/>
    </row>
    <row r="1664" spans="14:19" ht="29.1" customHeight="1">
      <c r="N1664" s="774"/>
      <c r="O1664" s="774"/>
      <c r="P1664" s="774"/>
      <c r="Q1664" s="774"/>
      <c r="R1664" s="774"/>
      <c r="S1664" s="774"/>
    </row>
    <row r="1665" spans="14:19" ht="29.1" customHeight="1">
      <c r="N1665" s="774"/>
      <c r="O1665" s="774"/>
      <c r="P1665" s="774"/>
      <c r="Q1665" s="774"/>
      <c r="R1665" s="774"/>
      <c r="S1665" s="774"/>
    </row>
    <row r="1666" spans="14:19" ht="29.1" customHeight="1">
      <c r="N1666" s="774"/>
      <c r="O1666" s="774"/>
      <c r="P1666" s="774"/>
      <c r="Q1666" s="774"/>
      <c r="R1666" s="774"/>
      <c r="S1666" s="774"/>
    </row>
    <row r="1667" spans="14:19" ht="29.1" customHeight="1">
      <c r="N1667" s="774"/>
      <c r="O1667" s="774"/>
      <c r="P1667" s="774"/>
      <c r="Q1667" s="774"/>
      <c r="R1667" s="774"/>
      <c r="S1667" s="774"/>
    </row>
    <row r="1668" spans="14:19" ht="29.1" customHeight="1">
      <c r="N1668" s="774"/>
      <c r="O1668" s="774"/>
      <c r="P1668" s="774"/>
      <c r="Q1668" s="774"/>
      <c r="R1668" s="774"/>
      <c r="S1668" s="774"/>
    </row>
    <row r="1669" spans="14:19" ht="29.1" customHeight="1">
      <c r="N1669" s="774"/>
      <c r="O1669" s="774"/>
      <c r="P1669" s="774"/>
      <c r="Q1669" s="774"/>
      <c r="R1669" s="774"/>
      <c r="S1669" s="774"/>
    </row>
    <row r="1670" spans="14:19" ht="29.1" customHeight="1">
      <c r="N1670" s="774"/>
      <c r="O1670" s="774"/>
      <c r="P1670" s="774"/>
      <c r="Q1670" s="774"/>
      <c r="R1670" s="774"/>
      <c r="S1670" s="774"/>
    </row>
    <row r="1671" spans="14:19" ht="29.1" customHeight="1">
      <c r="N1671" s="774"/>
      <c r="O1671" s="774"/>
      <c r="P1671" s="774"/>
      <c r="Q1671" s="774"/>
      <c r="R1671" s="774"/>
      <c r="S1671" s="774"/>
    </row>
    <row r="1672" spans="14:19" ht="29.1" customHeight="1">
      <c r="N1672" s="774"/>
      <c r="O1672" s="774"/>
      <c r="P1672" s="774"/>
      <c r="Q1672" s="774"/>
      <c r="R1672" s="774"/>
      <c r="S1672" s="774"/>
    </row>
    <row r="1673" spans="14:19" ht="29.1" customHeight="1">
      <c r="N1673" s="774"/>
      <c r="O1673" s="774"/>
      <c r="P1673" s="774"/>
      <c r="Q1673" s="774"/>
      <c r="R1673" s="774"/>
      <c r="S1673" s="774"/>
    </row>
    <row r="1674" spans="14:19" ht="29.1" customHeight="1">
      <c r="N1674" s="774"/>
      <c r="O1674" s="774"/>
      <c r="P1674" s="774"/>
      <c r="Q1674" s="774"/>
      <c r="R1674" s="774"/>
      <c r="S1674" s="774"/>
    </row>
    <row r="1675" spans="14:19" ht="29.1" customHeight="1">
      <c r="N1675" s="774"/>
      <c r="O1675" s="774"/>
      <c r="P1675" s="774"/>
      <c r="Q1675" s="774"/>
      <c r="R1675" s="774"/>
      <c r="S1675" s="774"/>
    </row>
    <row r="1676" spans="14:19" ht="29.1" customHeight="1">
      <c r="N1676" s="774"/>
      <c r="O1676" s="774"/>
      <c r="P1676" s="774"/>
      <c r="Q1676" s="774"/>
      <c r="R1676" s="774"/>
      <c r="S1676" s="774"/>
    </row>
    <row r="1677" spans="14:19" ht="29.1" customHeight="1">
      <c r="N1677" s="774"/>
      <c r="O1677" s="774"/>
      <c r="P1677" s="774"/>
      <c r="Q1677" s="774"/>
      <c r="R1677" s="774"/>
      <c r="S1677" s="774"/>
    </row>
    <row r="1678" spans="14:19" ht="29.1" customHeight="1">
      <c r="N1678" s="774"/>
      <c r="O1678" s="774"/>
      <c r="P1678" s="774"/>
      <c r="Q1678" s="774"/>
      <c r="R1678" s="774"/>
      <c r="S1678" s="774"/>
    </row>
    <row r="1679" spans="14:19" ht="29.1" customHeight="1">
      <c r="N1679" s="774"/>
      <c r="O1679" s="774"/>
      <c r="P1679" s="774"/>
      <c r="Q1679" s="774"/>
      <c r="R1679" s="774"/>
      <c r="S1679" s="774"/>
    </row>
    <row r="1680" spans="14:19" ht="29.1" customHeight="1">
      <c r="N1680" s="774"/>
      <c r="O1680" s="774"/>
      <c r="P1680" s="774"/>
      <c r="Q1680" s="774"/>
      <c r="R1680" s="774"/>
      <c r="S1680" s="774"/>
    </row>
    <row r="1681" spans="14:19" ht="29.1" customHeight="1">
      <c r="N1681" s="774"/>
      <c r="O1681" s="774"/>
      <c r="P1681" s="774"/>
      <c r="Q1681" s="774"/>
      <c r="R1681" s="774"/>
      <c r="S1681" s="774"/>
    </row>
    <row r="1682" spans="14:19" ht="29.1" customHeight="1">
      <c r="N1682" s="774"/>
      <c r="O1682" s="774"/>
      <c r="P1682" s="774"/>
      <c r="Q1682" s="774"/>
      <c r="R1682" s="774"/>
      <c r="S1682" s="774"/>
    </row>
    <row r="1683" spans="14:19" ht="29.1" customHeight="1">
      <c r="N1683" s="774"/>
      <c r="O1683" s="774"/>
      <c r="P1683" s="774"/>
      <c r="Q1683" s="774"/>
      <c r="R1683" s="774"/>
      <c r="S1683" s="774"/>
    </row>
    <row r="1684" spans="14:19" ht="29.1" customHeight="1">
      <c r="N1684" s="774"/>
      <c r="O1684" s="774"/>
      <c r="P1684" s="774"/>
      <c r="Q1684" s="774"/>
      <c r="R1684" s="774"/>
      <c r="S1684" s="774"/>
    </row>
    <row r="1685" spans="14:19" ht="29.1" customHeight="1">
      <c r="N1685" s="774"/>
      <c r="O1685" s="774"/>
      <c r="P1685" s="774"/>
      <c r="Q1685" s="774"/>
      <c r="R1685" s="774"/>
      <c r="S1685" s="774"/>
    </row>
    <row r="1686" spans="14:19" ht="29.1" customHeight="1">
      <c r="N1686" s="774"/>
      <c r="O1686" s="774"/>
      <c r="P1686" s="774"/>
      <c r="Q1686" s="774"/>
      <c r="R1686" s="774"/>
      <c r="S1686" s="774"/>
    </row>
    <row r="1687" spans="14:19" ht="29.1" customHeight="1">
      <c r="N1687" s="774"/>
      <c r="O1687" s="774"/>
      <c r="P1687" s="774"/>
      <c r="Q1687" s="774"/>
      <c r="R1687" s="774"/>
      <c r="S1687" s="774"/>
    </row>
    <row r="1688" spans="14:19" ht="29.1" customHeight="1">
      <c r="N1688" s="774"/>
      <c r="O1688" s="774"/>
      <c r="P1688" s="774"/>
      <c r="Q1688" s="774"/>
      <c r="R1688" s="774"/>
      <c r="S1688" s="774"/>
    </row>
    <row r="1689" spans="14:19" ht="29.1" customHeight="1">
      <c r="N1689" s="774"/>
      <c r="O1689" s="774"/>
      <c r="P1689" s="774"/>
      <c r="Q1689" s="774"/>
      <c r="R1689" s="774"/>
      <c r="S1689" s="774"/>
    </row>
    <row r="1690" spans="14:19" ht="29.1" customHeight="1">
      <c r="N1690" s="774"/>
      <c r="O1690" s="774"/>
      <c r="P1690" s="774"/>
      <c r="Q1690" s="774"/>
      <c r="R1690" s="774"/>
      <c r="S1690" s="774"/>
    </row>
    <row r="1691" spans="14:19" ht="29.1" customHeight="1">
      <c r="N1691" s="774"/>
      <c r="O1691" s="774"/>
      <c r="P1691" s="774"/>
      <c r="Q1691" s="774"/>
      <c r="R1691" s="774"/>
      <c r="S1691" s="774"/>
    </row>
    <row r="1692" spans="14:19" ht="29.1" customHeight="1">
      <c r="N1692" s="774"/>
      <c r="O1692" s="774"/>
      <c r="P1692" s="774"/>
      <c r="Q1692" s="774"/>
      <c r="R1692" s="774"/>
      <c r="S1692" s="774"/>
    </row>
    <row r="1693" spans="14:19" ht="29.1" customHeight="1">
      <c r="N1693" s="774"/>
      <c r="O1693" s="774"/>
      <c r="P1693" s="774"/>
      <c r="Q1693" s="774"/>
      <c r="R1693" s="774"/>
      <c r="S1693" s="774"/>
    </row>
    <row r="1694" spans="14:19" ht="29.1" customHeight="1">
      <c r="N1694" s="774"/>
      <c r="O1694" s="774"/>
      <c r="P1694" s="774"/>
      <c r="Q1694" s="774"/>
      <c r="R1694" s="774"/>
      <c r="S1694" s="774"/>
    </row>
    <row r="1695" spans="14:19" ht="29.1" customHeight="1">
      <c r="N1695" s="774"/>
      <c r="O1695" s="774"/>
      <c r="P1695" s="774"/>
      <c r="Q1695" s="774"/>
      <c r="R1695" s="774"/>
      <c r="S1695" s="774"/>
    </row>
    <row r="1696" spans="14:19" ht="29.1" customHeight="1">
      <c r="N1696" s="774"/>
      <c r="O1696" s="774"/>
      <c r="P1696" s="774"/>
      <c r="Q1696" s="774"/>
      <c r="R1696" s="774"/>
      <c r="S1696" s="774"/>
    </row>
    <row r="1697" spans="14:19" ht="29.1" customHeight="1">
      <c r="N1697" s="774"/>
      <c r="O1697" s="774"/>
      <c r="P1697" s="774"/>
      <c r="Q1697" s="774"/>
      <c r="R1697" s="774"/>
      <c r="S1697" s="774"/>
    </row>
    <row r="1698" spans="14:19" ht="29.1" customHeight="1">
      <c r="N1698" s="774"/>
      <c r="O1698" s="774"/>
      <c r="P1698" s="774"/>
      <c r="Q1698" s="774"/>
      <c r="R1698" s="774"/>
      <c r="S1698" s="774"/>
    </row>
    <row r="1699" spans="14:19" ht="29.1" customHeight="1">
      <c r="N1699" s="774"/>
      <c r="O1699" s="774"/>
      <c r="P1699" s="774"/>
      <c r="Q1699" s="774"/>
      <c r="R1699" s="774"/>
      <c r="S1699" s="774"/>
    </row>
    <row r="1700" spans="14:19" ht="29.1" customHeight="1">
      <c r="N1700" s="774"/>
      <c r="O1700" s="774"/>
      <c r="P1700" s="774"/>
      <c r="Q1700" s="774"/>
      <c r="R1700" s="774"/>
      <c r="S1700" s="774"/>
    </row>
    <row r="1701" spans="14:19" ht="29.1" customHeight="1">
      <c r="N1701" s="774"/>
      <c r="O1701" s="774"/>
      <c r="P1701" s="774"/>
      <c r="Q1701" s="774"/>
      <c r="R1701" s="774"/>
      <c r="S1701" s="774"/>
    </row>
    <row r="1702" spans="14:19" ht="29.1" customHeight="1">
      <c r="N1702" s="774"/>
      <c r="O1702" s="774"/>
      <c r="P1702" s="774"/>
      <c r="Q1702" s="774"/>
      <c r="R1702" s="774"/>
      <c r="S1702" s="774"/>
    </row>
    <row r="1703" spans="14:19" ht="29.1" customHeight="1">
      <c r="N1703" s="774"/>
      <c r="O1703" s="774"/>
      <c r="P1703" s="774"/>
      <c r="Q1703" s="774"/>
      <c r="R1703" s="774"/>
      <c r="S1703" s="774"/>
    </row>
    <row r="1704" spans="14:19" ht="29.1" customHeight="1">
      <c r="N1704" s="774"/>
      <c r="O1704" s="774"/>
      <c r="P1704" s="774"/>
      <c r="Q1704" s="774"/>
      <c r="R1704" s="774"/>
      <c r="S1704" s="774"/>
    </row>
    <row r="1705" spans="14:19" ht="29.1" customHeight="1">
      <c r="N1705" s="774"/>
      <c r="O1705" s="774"/>
      <c r="P1705" s="774"/>
      <c r="Q1705" s="774"/>
      <c r="R1705" s="774"/>
      <c r="S1705" s="774"/>
    </row>
    <row r="1706" spans="14:19" ht="29.1" customHeight="1">
      <c r="N1706" s="774"/>
      <c r="O1706" s="774"/>
      <c r="P1706" s="774"/>
      <c r="Q1706" s="774"/>
      <c r="R1706" s="774"/>
      <c r="S1706" s="774"/>
    </row>
    <row r="1707" spans="14:19" ht="29.1" customHeight="1">
      <c r="N1707" s="774"/>
      <c r="O1707" s="774"/>
      <c r="P1707" s="774"/>
      <c r="Q1707" s="774"/>
      <c r="R1707" s="774"/>
      <c r="S1707" s="774"/>
    </row>
    <row r="1708" spans="14:19" ht="29.1" customHeight="1">
      <c r="N1708" s="774"/>
      <c r="O1708" s="774"/>
      <c r="P1708" s="774"/>
      <c r="Q1708" s="774"/>
      <c r="R1708" s="774"/>
      <c r="S1708" s="774"/>
    </row>
    <row r="1709" spans="14:19" ht="29.1" customHeight="1">
      <c r="N1709" s="774"/>
      <c r="O1709" s="774"/>
      <c r="P1709" s="774"/>
      <c r="Q1709" s="774"/>
      <c r="R1709" s="774"/>
      <c r="S1709" s="774"/>
    </row>
    <row r="1710" spans="14:19" ht="29.1" customHeight="1">
      <c r="N1710" s="774"/>
      <c r="O1710" s="774"/>
      <c r="P1710" s="774"/>
      <c r="Q1710" s="774"/>
      <c r="R1710" s="774"/>
      <c r="S1710" s="774"/>
    </row>
    <row r="1711" spans="14:19" ht="29.1" customHeight="1">
      <c r="N1711" s="774"/>
      <c r="O1711" s="774"/>
      <c r="P1711" s="774"/>
      <c r="Q1711" s="774"/>
      <c r="R1711" s="774"/>
      <c r="S1711" s="774"/>
    </row>
    <row r="1712" spans="14:19" ht="29.1" customHeight="1">
      <c r="N1712" s="774"/>
      <c r="O1712" s="774"/>
      <c r="P1712" s="774"/>
      <c r="Q1712" s="774"/>
      <c r="R1712" s="774"/>
      <c r="S1712" s="774"/>
    </row>
    <row r="1713" spans="14:19" ht="29.1" customHeight="1">
      <c r="N1713" s="774"/>
      <c r="O1713" s="774"/>
      <c r="P1713" s="774"/>
      <c r="Q1713" s="774"/>
      <c r="R1713" s="774"/>
      <c r="S1713" s="774"/>
    </row>
    <row r="1714" spans="14:19" ht="29.1" customHeight="1">
      <c r="N1714" s="774"/>
      <c r="O1714" s="774"/>
      <c r="P1714" s="774"/>
      <c r="Q1714" s="774"/>
      <c r="R1714" s="774"/>
      <c r="S1714" s="774"/>
    </row>
    <row r="1715" spans="14:19" ht="29.1" customHeight="1">
      <c r="N1715" s="774"/>
      <c r="O1715" s="774"/>
      <c r="P1715" s="774"/>
      <c r="Q1715" s="774"/>
      <c r="R1715" s="774"/>
      <c r="S1715" s="774"/>
    </row>
    <row r="1716" spans="14:19" ht="29.1" customHeight="1">
      <c r="N1716" s="774"/>
      <c r="O1716" s="774"/>
      <c r="P1716" s="774"/>
      <c r="Q1716" s="774"/>
      <c r="R1716" s="774"/>
      <c r="S1716" s="774"/>
    </row>
    <row r="1717" spans="14:19" ht="29.1" customHeight="1">
      <c r="N1717" s="774"/>
      <c r="O1717" s="774"/>
      <c r="P1717" s="774"/>
      <c r="Q1717" s="774"/>
      <c r="R1717" s="774"/>
      <c r="S1717" s="774"/>
    </row>
    <row r="1718" spans="14:19" ht="29.1" customHeight="1">
      <c r="N1718" s="774"/>
      <c r="O1718" s="774"/>
      <c r="P1718" s="774"/>
      <c r="Q1718" s="774"/>
      <c r="R1718" s="774"/>
      <c r="S1718" s="774"/>
    </row>
    <row r="1719" spans="14:19" ht="29.1" customHeight="1">
      <c r="N1719" s="774"/>
      <c r="O1719" s="774"/>
      <c r="P1719" s="774"/>
      <c r="Q1719" s="774"/>
      <c r="R1719" s="774"/>
      <c r="S1719" s="774"/>
    </row>
    <row r="1720" spans="14:19" ht="29.1" customHeight="1">
      <c r="N1720" s="774"/>
      <c r="O1720" s="774"/>
      <c r="P1720" s="774"/>
      <c r="Q1720" s="774"/>
      <c r="R1720" s="774"/>
      <c r="S1720" s="774"/>
    </row>
    <row r="1721" spans="14:19" ht="29.1" customHeight="1">
      <c r="N1721" s="774"/>
      <c r="O1721" s="774"/>
      <c r="P1721" s="774"/>
      <c r="Q1721" s="774"/>
      <c r="R1721" s="774"/>
      <c r="S1721" s="774"/>
    </row>
    <row r="1722" spans="14:19" ht="29.1" customHeight="1">
      <c r="N1722" s="774"/>
      <c r="O1722" s="774"/>
      <c r="P1722" s="774"/>
      <c r="Q1722" s="774"/>
      <c r="R1722" s="774"/>
      <c r="S1722" s="774"/>
    </row>
    <row r="1723" spans="14:19" ht="29.1" customHeight="1">
      <c r="N1723" s="774"/>
      <c r="O1723" s="774"/>
      <c r="P1723" s="774"/>
      <c r="Q1723" s="774"/>
      <c r="R1723" s="774"/>
      <c r="S1723" s="774"/>
    </row>
    <row r="1724" spans="14:19" ht="29.1" customHeight="1">
      <c r="N1724" s="774"/>
      <c r="O1724" s="774"/>
      <c r="P1724" s="774"/>
      <c r="Q1724" s="774"/>
      <c r="R1724" s="774"/>
      <c r="S1724" s="774"/>
    </row>
    <row r="1725" spans="14:19" ht="29.1" customHeight="1">
      <c r="N1725" s="774"/>
      <c r="O1725" s="774"/>
      <c r="P1725" s="774"/>
      <c r="Q1725" s="774"/>
      <c r="R1725" s="774"/>
      <c r="S1725" s="774"/>
    </row>
    <row r="1726" spans="14:19" ht="29.1" customHeight="1">
      <c r="N1726" s="774"/>
      <c r="O1726" s="774"/>
      <c r="P1726" s="774"/>
      <c r="Q1726" s="774"/>
      <c r="R1726" s="774"/>
      <c r="S1726" s="774"/>
    </row>
    <row r="1727" spans="14:19" ht="29.1" customHeight="1">
      <c r="N1727" s="774"/>
      <c r="O1727" s="774"/>
      <c r="P1727" s="774"/>
      <c r="Q1727" s="774"/>
      <c r="R1727" s="774"/>
      <c r="S1727" s="774"/>
    </row>
    <row r="1728" spans="14:19" ht="29.1" customHeight="1">
      <c r="N1728" s="774"/>
      <c r="O1728" s="774"/>
      <c r="P1728" s="774"/>
      <c r="Q1728" s="774"/>
      <c r="R1728" s="774"/>
      <c r="S1728" s="774"/>
    </row>
    <row r="1729" spans="14:19" ht="29.1" customHeight="1">
      <c r="N1729" s="774"/>
      <c r="O1729" s="774"/>
      <c r="P1729" s="774"/>
      <c r="Q1729" s="774"/>
      <c r="R1729" s="774"/>
      <c r="S1729" s="774"/>
    </row>
    <row r="1730" spans="14:19" ht="29.1" customHeight="1">
      <c r="N1730" s="774"/>
      <c r="O1730" s="774"/>
      <c r="P1730" s="774"/>
      <c r="Q1730" s="774"/>
      <c r="R1730" s="774"/>
      <c r="S1730" s="774"/>
    </row>
    <row r="1731" spans="14:19" ht="29.1" customHeight="1">
      <c r="N1731" s="774"/>
      <c r="O1731" s="774"/>
      <c r="P1731" s="774"/>
      <c r="Q1731" s="774"/>
      <c r="R1731" s="774"/>
      <c r="S1731" s="774"/>
    </row>
    <row r="1732" spans="14:19" ht="29.1" customHeight="1">
      <c r="N1732" s="774"/>
      <c r="O1732" s="774"/>
      <c r="P1732" s="774"/>
      <c r="Q1732" s="774"/>
      <c r="R1732" s="774"/>
      <c r="S1732" s="774"/>
    </row>
    <row r="1733" spans="14:19" ht="29.1" customHeight="1">
      <c r="N1733" s="774"/>
      <c r="O1733" s="774"/>
      <c r="P1733" s="774"/>
      <c r="Q1733" s="774"/>
      <c r="R1733" s="774"/>
      <c r="S1733" s="774"/>
    </row>
    <row r="1734" spans="14:19" ht="29.1" customHeight="1">
      <c r="N1734" s="774"/>
      <c r="O1734" s="774"/>
      <c r="P1734" s="774"/>
      <c r="Q1734" s="774"/>
      <c r="R1734" s="774"/>
      <c r="S1734" s="774"/>
    </row>
    <row r="1735" spans="14:19" ht="29.1" customHeight="1">
      <c r="N1735" s="774"/>
      <c r="O1735" s="774"/>
      <c r="P1735" s="774"/>
      <c r="Q1735" s="774"/>
      <c r="R1735" s="774"/>
      <c r="S1735" s="774"/>
    </row>
    <row r="1736" spans="14:19" ht="29.1" customHeight="1">
      <c r="N1736" s="774"/>
      <c r="O1736" s="774"/>
      <c r="P1736" s="774"/>
      <c r="Q1736" s="774"/>
      <c r="R1736" s="774"/>
      <c r="S1736" s="774"/>
    </row>
    <row r="1737" spans="14:19" ht="29.1" customHeight="1">
      <c r="N1737" s="774"/>
      <c r="O1737" s="774"/>
      <c r="P1737" s="774"/>
      <c r="Q1737" s="774"/>
      <c r="R1737" s="774"/>
      <c r="S1737" s="774"/>
    </row>
    <row r="1738" spans="14:19" ht="29.1" customHeight="1">
      <c r="N1738" s="774"/>
      <c r="O1738" s="774"/>
      <c r="P1738" s="774"/>
      <c r="Q1738" s="774"/>
      <c r="R1738" s="774"/>
      <c r="S1738" s="774"/>
    </row>
    <row r="1739" spans="14:19" ht="29.1" customHeight="1">
      <c r="N1739" s="774"/>
      <c r="O1739" s="774"/>
      <c r="P1739" s="774"/>
      <c r="Q1739" s="774"/>
      <c r="R1739" s="774"/>
      <c r="S1739" s="774"/>
    </row>
    <row r="1740" spans="14:19" ht="29.1" customHeight="1">
      <c r="N1740" s="774"/>
      <c r="O1740" s="774"/>
      <c r="P1740" s="774"/>
      <c r="Q1740" s="774"/>
      <c r="R1740" s="774"/>
      <c r="S1740" s="774"/>
    </row>
    <row r="1741" spans="14:19" ht="29.1" customHeight="1">
      <c r="N1741" s="774"/>
      <c r="O1741" s="774"/>
      <c r="P1741" s="774"/>
      <c r="Q1741" s="774"/>
      <c r="R1741" s="774"/>
      <c r="S1741" s="774"/>
    </row>
    <row r="1742" spans="14:19" ht="29.1" customHeight="1">
      <c r="N1742" s="774"/>
      <c r="O1742" s="774"/>
      <c r="P1742" s="774"/>
      <c r="Q1742" s="774"/>
      <c r="R1742" s="774"/>
      <c r="S1742" s="774"/>
    </row>
    <row r="1743" spans="14:19" ht="29.1" customHeight="1">
      <c r="N1743" s="774"/>
      <c r="O1743" s="774"/>
      <c r="P1743" s="774"/>
      <c r="Q1743" s="774"/>
      <c r="R1743" s="774"/>
      <c r="S1743" s="774"/>
    </row>
    <row r="1744" spans="14:19" ht="29.1" customHeight="1">
      <c r="N1744" s="774"/>
      <c r="O1744" s="774"/>
      <c r="P1744" s="774"/>
      <c r="Q1744" s="774"/>
      <c r="R1744" s="774"/>
      <c r="S1744" s="774"/>
    </row>
    <row r="1745" spans="14:19" ht="29.1" customHeight="1">
      <c r="N1745" s="774"/>
      <c r="O1745" s="774"/>
      <c r="P1745" s="774"/>
      <c r="Q1745" s="774"/>
      <c r="R1745" s="774"/>
      <c r="S1745" s="774"/>
    </row>
    <row r="1746" spans="14:19" ht="29.1" customHeight="1">
      <c r="N1746" s="774"/>
      <c r="O1746" s="774"/>
      <c r="P1746" s="774"/>
      <c r="Q1746" s="774"/>
      <c r="R1746" s="774"/>
      <c r="S1746" s="774"/>
    </row>
    <row r="1747" spans="14:19" ht="29.1" customHeight="1">
      <c r="N1747" s="774"/>
      <c r="O1747" s="774"/>
      <c r="P1747" s="774"/>
      <c r="Q1747" s="774"/>
      <c r="R1747" s="774"/>
      <c r="S1747" s="774"/>
    </row>
    <row r="1748" spans="14:19" ht="29.1" customHeight="1">
      <c r="N1748" s="774"/>
      <c r="O1748" s="774"/>
      <c r="P1748" s="774"/>
      <c r="Q1748" s="774"/>
      <c r="R1748" s="774"/>
      <c r="S1748" s="774"/>
    </row>
    <row r="1749" spans="14:19" ht="29.1" customHeight="1">
      <c r="N1749" s="774"/>
      <c r="O1749" s="774"/>
      <c r="P1749" s="774"/>
      <c r="Q1749" s="774"/>
      <c r="R1749" s="774"/>
      <c r="S1749" s="774"/>
    </row>
    <row r="1750" spans="14:19" ht="29.1" customHeight="1">
      <c r="N1750" s="774"/>
      <c r="O1750" s="774"/>
      <c r="P1750" s="774"/>
      <c r="Q1750" s="774"/>
      <c r="R1750" s="774"/>
      <c r="S1750" s="774"/>
    </row>
    <row r="1751" spans="14:19" ht="29.1" customHeight="1">
      <c r="N1751" s="774"/>
      <c r="O1751" s="774"/>
      <c r="P1751" s="774"/>
      <c r="Q1751" s="774"/>
      <c r="R1751" s="774"/>
      <c r="S1751" s="774"/>
    </row>
    <row r="1752" spans="14:19" ht="29.1" customHeight="1">
      <c r="N1752" s="774"/>
      <c r="O1752" s="774"/>
      <c r="P1752" s="774"/>
      <c r="Q1752" s="774"/>
      <c r="R1752" s="774"/>
      <c r="S1752" s="774"/>
    </row>
    <row r="1753" spans="14:19" ht="29.1" customHeight="1">
      <c r="N1753" s="774"/>
      <c r="O1753" s="774"/>
      <c r="P1753" s="774"/>
      <c r="Q1753" s="774"/>
      <c r="R1753" s="774"/>
      <c r="S1753" s="774"/>
    </row>
    <row r="1754" spans="14:19" ht="29.1" customHeight="1">
      <c r="N1754" s="774"/>
      <c r="O1754" s="774"/>
      <c r="P1754" s="774"/>
      <c r="Q1754" s="774"/>
      <c r="R1754" s="774"/>
      <c r="S1754" s="774"/>
    </row>
    <row r="1755" spans="14:19" ht="29.1" customHeight="1">
      <c r="N1755" s="774"/>
      <c r="O1755" s="774"/>
      <c r="P1755" s="774"/>
      <c r="Q1755" s="774"/>
      <c r="R1755" s="774"/>
      <c r="S1755" s="774"/>
    </row>
    <row r="1756" spans="14:19" ht="29.1" customHeight="1">
      <c r="N1756" s="774"/>
      <c r="O1756" s="774"/>
      <c r="P1756" s="774"/>
      <c r="Q1756" s="774"/>
      <c r="R1756" s="774"/>
      <c r="S1756" s="774"/>
    </row>
    <row r="1757" spans="14:19" ht="29.1" customHeight="1">
      <c r="N1757" s="774"/>
      <c r="O1757" s="774"/>
      <c r="P1757" s="774"/>
      <c r="Q1757" s="774"/>
      <c r="R1757" s="774"/>
      <c r="S1757" s="774"/>
    </row>
    <row r="1758" spans="14:19" ht="29.1" customHeight="1">
      <c r="N1758" s="774"/>
      <c r="O1758" s="774"/>
      <c r="P1758" s="774"/>
      <c r="Q1758" s="774"/>
      <c r="R1758" s="774"/>
      <c r="S1758" s="774"/>
    </row>
    <row r="1759" spans="14:19" ht="29.1" customHeight="1">
      <c r="N1759" s="774"/>
      <c r="O1759" s="774"/>
      <c r="P1759" s="774"/>
      <c r="Q1759" s="774"/>
      <c r="R1759" s="774"/>
      <c r="S1759" s="774"/>
    </row>
    <row r="1760" spans="14:19" ht="29.1" customHeight="1">
      <c r="N1760" s="774"/>
      <c r="O1760" s="774"/>
      <c r="P1760" s="774"/>
      <c r="Q1760" s="774"/>
      <c r="R1760" s="774"/>
      <c r="S1760" s="774"/>
    </row>
    <row r="1761" spans="14:19" ht="29.1" customHeight="1">
      <c r="N1761" s="774"/>
      <c r="O1761" s="774"/>
      <c r="P1761" s="774"/>
      <c r="Q1761" s="774"/>
      <c r="R1761" s="774"/>
      <c r="S1761" s="774"/>
    </row>
    <row r="1762" spans="14:19" ht="29.1" customHeight="1">
      <c r="N1762" s="774"/>
      <c r="O1762" s="774"/>
      <c r="P1762" s="774"/>
      <c r="Q1762" s="774"/>
      <c r="R1762" s="774"/>
      <c r="S1762" s="774"/>
    </row>
    <row r="1763" spans="14:19" ht="29.1" customHeight="1">
      <c r="N1763" s="774"/>
      <c r="O1763" s="774"/>
      <c r="P1763" s="774"/>
      <c r="Q1763" s="774"/>
      <c r="R1763" s="774"/>
      <c r="S1763" s="774"/>
    </row>
    <row r="1764" spans="14:19" ht="29.1" customHeight="1">
      <c r="N1764" s="774"/>
      <c r="O1764" s="774"/>
      <c r="P1764" s="774"/>
      <c r="Q1764" s="774"/>
      <c r="R1764" s="774"/>
      <c r="S1764" s="774"/>
    </row>
    <row r="1765" spans="14:19" ht="29.1" customHeight="1">
      <c r="N1765" s="774"/>
      <c r="O1765" s="774"/>
      <c r="P1765" s="774"/>
      <c r="Q1765" s="774"/>
      <c r="R1765" s="774"/>
      <c r="S1765" s="774"/>
    </row>
    <row r="1766" spans="14:19" ht="29.1" customHeight="1">
      <c r="N1766" s="774"/>
      <c r="O1766" s="774"/>
      <c r="P1766" s="774"/>
      <c r="Q1766" s="774"/>
      <c r="R1766" s="774"/>
      <c r="S1766" s="774"/>
    </row>
    <row r="1767" spans="14:19" ht="29.1" customHeight="1">
      <c r="N1767" s="774"/>
      <c r="O1767" s="774"/>
      <c r="P1767" s="774"/>
      <c r="Q1767" s="774"/>
      <c r="R1767" s="774"/>
      <c r="S1767" s="774"/>
    </row>
    <row r="1768" spans="14:19" ht="29.1" customHeight="1">
      <c r="N1768" s="774"/>
      <c r="O1768" s="774"/>
      <c r="P1768" s="774"/>
      <c r="Q1768" s="774"/>
      <c r="R1768" s="774"/>
      <c r="S1768" s="774"/>
    </row>
    <row r="1769" spans="14:19" ht="29.1" customHeight="1">
      <c r="N1769" s="774"/>
      <c r="O1769" s="774"/>
      <c r="P1769" s="774"/>
      <c r="Q1769" s="774"/>
      <c r="R1769" s="774"/>
      <c r="S1769" s="774"/>
    </row>
    <row r="1770" spans="14:19" ht="29.1" customHeight="1">
      <c r="N1770" s="774"/>
      <c r="O1770" s="774"/>
      <c r="P1770" s="774"/>
      <c r="Q1770" s="774"/>
      <c r="R1770" s="774"/>
      <c r="S1770" s="774"/>
    </row>
    <row r="1771" spans="14:19" ht="29.1" customHeight="1">
      <c r="N1771" s="774"/>
      <c r="O1771" s="774"/>
      <c r="P1771" s="774"/>
      <c r="Q1771" s="774"/>
      <c r="R1771" s="774"/>
      <c r="S1771" s="774"/>
    </row>
    <row r="1772" spans="14:19" ht="29.1" customHeight="1">
      <c r="N1772" s="774"/>
      <c r="O1772" s="774"/>
      <c r="P1772" s="774"/>
      <c r="Q1772" s="774"/>
      <c r="R1772" s="774"/>
      <c r="S1772" s="774"/>
    </row>
    <row r="1773" spans="14:19" ht="29.1" customHeight="1">
      <c r="N1773" s="774"/>
      <c r="O1773" s="774"/>
      <c r="P1773" s="774"/>
      <c r="Q1773" s="774"/>
      <c r="R1773" s="774"/>
      <c r="S1773" s="774"/>
    </row>
    <row r="1774" spans="14:19" ht="29.1" customHeight="1">
      <c r="N1774" s="774"/>
      <c r="O1774" s="774"/>
      <c r="P1774" s="774"/>
      <c r="Q1774" s="774"/>
      <c r="R1774" s="774"/>
      <c r="S1774" s="774"/>
    </row>
    <row r="1775" spans="14:19" ht="29.1" customHeight="1">
      <c r="N1775" s="774"/>
      <c r="O1775" s="774"/>
      <c r="P1775" s="774"/>
      <c r="Q1775" s="774"/>
      <c r="R1775" s="774"/>
      <c r="S1775" s="774"/>
    </row>
    <row r="1776" spans="14:19" ht="29.1" customHeight="1">
      <c r="N1776" s="774"/>
      <c r="O1776" s="774"/>
      <c r="P1776" s="774"/>
      <c r="Q1776" s="774"/>
      <c r="R1776" s="774"/>
      <c r="S1776" s="774"/>
    </row>
    <row r="1777" spans="14:19" ht="29.1" customHeight="1">
      <c r="N1777" s="774"/>
      <c r="O1777" s="774"/>
      <c r="P1777" s="774"/>
      <c r="Q1777" s="774"/>
      <c r="R1777" s="774"/>
      <c r="S1777" s="774"/>
    </row>
    <row r="1778" spans="14:19" ht="29.1" customHeight="1">
      <c r="N1778" s="774"/>
      <c r="O1778" s="774"/>
      <c r="P1778" s="774"/>
      <c r="Q1778" s="774"/>
      <c r="R1778" s="774"/>
      <c r="S1778" s="774"/>
    </row>
    <row r="1779" spans="14:19" ht="29.1" customHeight="1">
      <c r="N1779" s="774"/>
      <c r="O1779" s="774"/>
      <c r="P1779" s="774"/>
      <c r="Q1779" s="774"/>
      <c r="R1779" s="774"/>
      <c r="S1779" s="774"/>
    </row>
    <row r="1780" spans="14:19" ht="29.1" customHeight="1">
      <c r="N1780" s="774"/>
      <c r="O1780" s="774"/>
      <c r="P1780" s="774"/>
      <c r="Q1780" s="774"/>
      <c r="R1780" s="774"/>
      <c r="S1780" s="774"/>
    </row>
    <row r="1781" spans="14:19" ht="29.1" customHeight="1">
      <c r="N1781" s="774"/>
      <c r="O1781" s="774"/>
      <c r="P1781" s="774"/>
      <c r="Q1781" s="774"/>
      <c r="R1781" s="774"/>
      <c r="S1781" s="774"/>
    </row>
    <row r="1782" spans="14:19" ht="29.1" customHeight="1">
      <c r="N1782" s="774"/>
      <c r="O1782" s="774"/>
      <c r="P1782" s="774"/>
      <c r="Q1782" s="774"/>
      <c r="R1782" s="774"/>
      <c r="S1782" s="774"/>
    </row>
    <row r="1783" spans="14:19" ht="29.1" customHeight="1">
      <c r="N1783" s="774"/>
      <c r="O1783" s="774"/>
      <c r="P1783" s="774"/>
      <c r="Q1783" s="774"/>
      <c r="R1783" s="774"/>
      <c r="S1783" s="774"/>
    </row>
    <row r="1784" spans="14:19" ht="29.1" customHeight="1">
      <c r="N1784" s="774"/>
      <c r="O1784" s="774"/>
      <c r="P1784" s="774"/>
      <c r="Q1784" s="774"/>
      <c r="R1784" s="774"/>
      <c r="S1784" s="774"/>
    </row>
    <row r="1785" spans="14:19" ht="29.1" customHeight="1">
      <c r="N1785" s="774"/>
      <c r="O1785" s="774"/>
      <c r="P1785" s="774"/>
      <c r="Q1785" s="774"/>
      <c r="R1785" s="774"/>
      <c r="S1785" s="774"/>
    </row>
    <row r="1786" spans="14:19" ht="29.1" customHeight="1">
      <c r="N1786" s="774"/>
      <c r="O1786" s="774"/>
      <c r="P1786" s="774"/>
      <c r="Q1786" s="774"/>
      <c r="R1786" s="774"/>
      <c r="S1786" s="774"/>
    </row>
    <row r="1787" spans="14:19" ht="29.1" customHeight="1">
      <c r="N1787" s="774"/>
      <c r="O1787" s="774"/>
      <c r="P1787" s="774"/>
      <c r="Q1787" s="774"/>
      <c r="R1787" s="774"/>
      <c r="S1787" s="774"/>
    </row>
    <row r="1788" spans="14:19" ht="29.1" customHeight="1">
      <c r="N1788" s="774"/>
      <c r="O1788" s="774"/>
      <c r="P1788" s="774"/>
      <c r="Q1788" s="774"/>
      <c r="R1788" s="774"/>
      <c r="S1788" s="774"/>
    </row>
    <row r="1789" spans="14:19" ht="29.1" customHeight="1">
      <c r="N1789" s="774"/>
      <c r="O1789" s="774"/>
      <c r="P1789" s="774"/>
      <c r="Q1789" s="774"/>
      <c r="R1789" s="774"/>
      <c r="S1789" s="774"/>
    </row>
    <row r="1790" spans="14:19" ht="29.1" customHeight="1">
      <c r="N1790" s="774"/>
      <c r="O1790" s="774"/>
      <c r="P1790" s="774"/>
      <c r="Q1790" s="774"/>
      <c r="R1790" s="774"/>
      <c r="S1790" s="774"/>
    </row>
    <row r="1791" spans="14:19" ht="29.1" customHeight="1">
      <c r="N1791" s="774"/>
      <c r="O1791" s="774"/>
      <c r="P1791" s="774"/>
      <c r="Q1791" s="774"/>
      <c r="R1791" s="774"/>
      <c r="S1791" s="774"/>
    </row>
    <row r="1792" spans="14:19" ht="29.1" customHeight="1">
      <c r="N1792" s="774"/>
      <c r="O1792" s="774"/>
      <c r="P1792" s="774"/>
      <c r="Q1792" s="774"/>
      <c r="R1792" s="774"/>
      <c r="S1792" s="774"/>
    </row>
    <row r="1793" spans="14:19" ht="29.1" customHeight="1">
      <c r="N1793" s="774"/>
      <c r="O1793" s="774"/>
      <c r="P1793" s="774"/>
      <c r="Q1793" s="774"/>
      <c r="R1793" s="774"/>
      <c r="S1793" s="774"/>
    </row>
    <row r="1794" spans="14:19" ht="29.1" customHeight="1">
      <c r="N1794" s="774"/>
      <c r="O1794" s="774"/>
      <c r="P1794" s="774"/>
      <c r="Q1794" s="774"/>
      <c r="R1794" s="774"/>
      <c r="S1794" s="774"/>
    </row>
    <row r="1795" spans="14:19" ht="29.1" customHeight="1">
      <c r="N1795" s="774"/>
      <c r="O1795" s="774"/>
      <c r="P1795" s="774"/>
      <c r="Q1795" s="774"/>
      <c r="R1795" s="774"/>
      <c r="S1795" s="774"/>
    </row>
    <row r="1796" spans="14:19" ht="29.1" customHeight="1">
      <c r="N1796" s="774"/>
      <c r="O1796" s="774"/>
      <c r="P1796" s="774"/>
      <c r="Q1796" s="774"/>
      <c r="R1796" s="774"/>
      <c r="S1796" s="774"/>
    </row>
    <row r="1797" spans="14:19" ht="29.1" customHeight="1">
      <c r="N1797" s="774"/>
      <c r="O1797" s="774"/>
      <c r="P1797" s="774"/>
      <c r="Q1797" s="774"/>
      <c r="R1797" s="774"/>
      <c r="S1797" s="774"/>
    </row>
    <row r="1798" spans="14:19" ht="29.1" customHeight="1">
      <c r="N1798" s="774"/>
      <c r="O1798" s="774"/>
      <c r="P1798" s="774"/>
      <c r="Q1798" s="774"/>
      <c r="R1798" s="774"/>
      <c r="S1798" s="774"/>
    </row>
    <row r="1799" spans="14:19" ht="29.1" customHeight="1">
      <c r="N1799" s="774"/>
      <c r="O1799" s="774"/>
      <c r="P1799" s="774"/>
      <c r="Q1799" s="774"/>
      <c r="R1799" s="774"/>
      <c r="S1799" s="774"/>
    </row>
    <row r="1800" spans="14:19" ht="29.1" customHeight="1">
      <c r="N1800" s="774"/>
      <c r="O1800" s="774"/>
      <c r="P1800" s="774"/>
      <c r="Q1800" s="774"/>
      <c r="R1800" s="774"/>
      <c r="S1800" s="774"/>
    </row>
    <row r="1801" spans="14:19" ht="29.1" customHeight="1">
      <c r="N1801" s="774"/>
      <c r="O1801" s="774"/>
      <c r="P1801" s="774"/>
      <c r="Q1801" s="774"/>
      <c r="R1801" s="774"/>
      <c r="S1801" s="774"/>
    </row>
    <row r="1802" spans="14:19" ht="29.1" customHeight="1">
      <c r="N1802" s="774"/>
      <c r="O1802" s="774"/>
      <c r="P1802" s="774"/>
      <c r="Q1802" s="774"/>
      <c r="R1802" s="774"/>
      <c r="S1802" s="774"/>
    </row>
    <row r="1803" spans="14:19" ht="29.1" customHeight="1">
      <c r="N1803" s="774"/>
      <c r="O1803" s="774"/>
      <c r="P1803" s="774"/>
      <c r="Q1803" s="774"/>
      <c r="R1803" s="774"/>
      <c r="S1803" s="774"/>
    </row>
    <row r="1804" spans="14:19" ht="29.1" customHeight="1">
      <c r="N1804" s="774"/>
      <c r="O1804" s="774"/>
      <c r="P1804" s="774"/>
      <c r="Q1804" s="774"/>
      <c r="R1804" s="774"/>
      <c r="S1804" s="774"/>
    </row>
    <row r="1805" spans="14:19" ht="29.1" customHeight="1">
      <c r="N1805" s="774"/>
      <c r="O1805" s="774"/>
      <c r="P1805" s="774"/>
      <c r="Q1805" s="774"/>
      <c r="R1805" s="774"/>
      <c r="S1805" s="774"/>
    </row>
    <row r="1806" spans="14:19" ht="29.1" customHeight="1">
      <c r="N1806" s="774"/>
      <c r="O1806" s="774"/>
      <c r="P1806" s="774"/>
      <c r="Q1806" s="774"/>
      <c r="R1806" s="774"/>
      <c r="S1806" s="774"/>
    </row>
    <row r="1807" spans="14:19" ht="29.1" customHeight="1">
      <c r="N1807" s="774"/>
      <c r="O1807" s="774"/>
      <c r="P1807" s="774"/>
      <c r="Q1807" s="774"/>
      <c r="R1807" s="774"/>
      <c r="S1807" s="774"/>
    </row>
    <row r="1808" spans="14:19" ht="29.1" customHeight="1">
      <c r="N1808" s="774"/>
      <c r="O1808" s="774"/>
      <c r="P1808" s="774"/>
      <c r="Q1808" s="774"/>
      <c r="R1808" s="774"/>
      <c r="S1808" s="774"/>
    </row>
    <row r="1809" spans="14:19" ht="29.1" customHeight="1">
      <c r="N1809" s="774"/>
      <c r="O1809" s="774"/>
      <c r="P1809" s="774"/>
      <c r="Q1809" s="774"/>
      <c r="R1809" s="774"/>
      <c r="S1809" s="774"/>
    </row>
    <row r="1810" spans="14:19" ht="29.1" customHeight="1">
      <c r="N1810" s="774"/>
      <c r="O1810" s="774"/>
      <c r="P1810" s="774"/>
      <c r="Q1810" s="774"/>
      <c r="R1810" s="774"/>
      <c r="S1810" s="774"/>
    </row>
    <row r="1811" spans="14:19" ht="29.1" customHeight="1">
      <c r="N1811" s="774"/>
      <c r="O1811" s="774"/>
      <c r="P1811" s="774"/>
      <c r="Q1811" s="774"/>
      <c r="R1811" s="774"/>
      <c r="S1811" s="774"/>
    </row>
    <row r="1812" spans="14:19" ht="29.1" customHeight="1">
      <c r="N1812" s="774"/>
      <c r="O1812" s="774"/>
      <c r="P1812" s="774"/>
      <c r="Q1812" s="774"/>
      <c r="R1812" s="774"/>
      <c r="S1812" s="774"/>
    </row>
    <row r="1813" spans="14:19" ht="29.1" customHeight="1">
      <c r="N1813" s="774"/>
      <c r="O1813" s="774"/>
      <c r="P1813" s="774"/>
      <c r="Q1813" s="774"/>
      <c r="R1813" s="774"/>
      <c r="S1813" s="774"/>
    </row>
    <row r="1814" spans="14:19" ht="29.1" customHeight="1">
      <c r="N1814" s="774"/>
      <c r="O1814" s="774"/>
      <c r="P1814" s="774"/>
      <c r="Q1814" s="774"/>
      <c r="R1814" s="774"/>
      <c r="S1814" s="774"/>
    </row>
    <row r="1815" spans="14:19" ht="29.1" customHeight="1">
      <c r="N1815" s="774"/>
      <c r="O1815" s="774"/>
      <c r="P1815" s="774"/>
      <c r="Q1815" s="774"/>
      <c r="R1815" s="774"/>
      <c r="S1815" s="774"/>
    </row>
    <row r="1816" spans="14:19" ht="29.1" customHeight="1">
      <c r="N1816" s="774"/>
      <c r="O1816" s="774"/>
      <c r="P1816" s="774"/>
      <c r="Q1816" s="774"/>
      <c r="R1816" s="774"/>
      <c r="S1816" s="774"/>
    </row>
    <row r="1817" spans="14:19" ht="29.1" customHeight="1">
      <c r="N1817" s="774"/>
      <c r="O1817" s="774"/>
      <c r="P1817" s="774"/>
      <c r="Q1817" s="774"/>
      <c r="R1817" s="774"/>
      <c r="S1817" s="774"/>
    </row>
    <row r="1818" spans="14:19" ht="29.1" customHeight="1">
      <c r="N1818" s="774"/>
      <c r="O1818" s="774"/>
      <c r="P1818" s="774"/>
      <c r="Q1818" s="774"/>
      <c r="R1818" s="774"/>
      <c r="S1818" s="774"/>
    </row>
    <row r="1819" spans="14:19" ht="29.1" customHeight="1">
      <c r="N1819" s="774"/>
      <c r="O1819" s="774"/>
      <c r="P1819" s="774"/>
      <c r="Q1819" s="774"/>
      <c r="R1819" s="774"/>
      <c r="S1819" s="774"/>
    </row>
    <row r="1820" spans="14:19" ht="29.1" customHeight="1">
      <c r="N1820" s="774"/>
      <c r="O1820" s="774"/>
      <c r="P1820" s="774"/>
      <c r="Q1820" s="774"/>
      <c r="R1820" s="774"/>
      <c r="S1820" s="774"/>
    </row>
    <row r="1821" spans="14:19" ht="29.1" customHeight="1">
      <c r="N1821" s="774"/>
      <c r="O1821" s="774"/>
      <c r="P1821" s="774"/>
      <c r="Q1821" s="774"/>
      <c r="R1821" s="774"/>
      <c r="S1821" s="774"/>
    </row>
    <row r="1822" spans="14:19" ht="29.1" customHeight="1">
      <c r="N1822" s="774"/>
      <c r="O1822" s="774"/>
      <c r="P1822" s="774"/>
      <c r="Q1822" s="774"/>
      <c r="R1822" s="774"/>
      <c r="S1822" s="774"/>
    </row>
    <row r="1823" spans="14:19" ht="29.1" customHeight="1">
      <c r="N1823" s="774"/>
      <c r="O1823" s="774"/>
      <c r="P1823" s="774"/>
      <c r="Q1823" s="774"/>
      <c r="R1823" s="774"/>
      <c r="S1823" s="774"/>
    </row>
    <row r="1824" spans="14:19" ht="29.1" customHeight="1">
      <c r="N1824" s="774"/>
      <c r="O1824" s="774"/>
      <c r="P1824" s="774"/>
      <c r="Q1824" s="774"/>
      <c r="R1824" s="774"/>
      <c r="S1824" s="774"/>
    </row>
    <row r="1825" spans="14:19" ht="29.1" customHeight="1">
      <c r="N1825" s="774"/>
      <c r="O1825" s="774"/>
      <c r="P1825" s="774"/>
      <c r="Q1825" s="774"/>
      <c r="R1825" s="774"/>
      <c r="S1825" s="774"/>
    </row>
    <row r="1826" spans="14:19" ht="29.1" customHeight="1">
      <c r="N1826" s="774"/>
      <c r="O1826" s="774"/>
      <c r="P1826" s="774"/>
      <c r="Q1826" s="774"/>
      <c r="R1826" s="774"/>
      <c r="S1826" s="774"/>
    </row>
    <row r="1827" spans="14:19" ht="29.1" customHeight="1">
      <c r="N1827" s="774"/>
      <c r="O1827" s="774"/>
      <c r="P1827" s="774"/>
      <c r="Q1827" s="774"/>
      <c r="R1827" s="774"/>
      <c r="S1827" s="774"/>
    </row>
    <row r="1828" spans="14:19" ht="29.1" customHeight="1">
      <c r="N1828" s="774"/>
      <c r="O1828" s="774"/>
      <c r="P1828" s="774"/>
      <c r="Q1828" s="774"/>
      <c r="R1828" s="774"/>
      <c r="S1828" s="774"/>
    </row>
    <row r="1829" spans="14:19" ht="29.1" customHeight="1">
      <c r="N1829" s="774"/>
      <c r="O1829" s="774"/>
      <c r="P1829" s="774"/>
      <c r="Q1829" s="774"/>
      <c r="R1829" s="774"/>
      <c r="S1829" s="774"/>
    </row>
    <row r="1830" spans="14:19" ht="29.1" customHeight="1">
      <c r="N1830" s="774"/>
      <c r="O1830" s="774"/>
      <c r="P1830" s="774"/>
      <c r="Q1830" s="774"/>
      <c r="R1830" s="774"/>
      <c r="S1830" s="774"/>
    </row>
    <row r="1831" spans="14:19" ht="29.1" customHeight="1">
      <c r="N1831" s="774"/>
      <c r="O1831" s="774"/>
      <c r="P1831" s="774"/>
      <c r="Q1831" s="774"/>
      <c r="R1831" s="774"/>
      <c r="S1831" s="774"/>
    </row>
    <row r="1832" spans="14:19" ht="29.1" customHeight="1">
      <c r="N1832" s="774"/>
      <c r="O1832" s="774"/>
      <c r="P1832" s="774"/>
      <c r="Q1832" s="774"/>
      <c r="R1832" s="774"/>
      <c r="S1832" s="774"/>
    </row>
    <row r="1833" spans="14:19" ht="29.1" customHeight="1">
      <c r="N1833" s="774"/>
      <c r="O1833" s="774"/>
      <c r="P1833" s="774"/>
      <c r="Q1833" s="774"/>
      <c r="R1833" s="774"/>
      <c r="S1833" s="774"/>
    </row>
    <row r="1834" spans="14:19" ht="29.1" customHeight="1">
      <c r="N1834" s="774"/>
      <c r="O1834" s="774"/>
      <c r="P1834" s="774"/>
      <c r="Q1834" s="774"/>
      <c r="R1834" s="774"/>
      <c r="S1834" s="774"/>
    </row>
    <row r="1835" spans="14:19" ht="29.1" customHeight="1">
      <c r="N1835" s="774"/>
      <c r="O1835" s="774"/>
      <c r="P1835" s="774"/>
      <c r="Q1835" s="774"/>
      <c r="R1835" s="774"/>
      <c r="S1835" s="774"/>
    </row>
    <row r="1836" spans="14:19" ht="29.1" customHeight="1">
      <c r="N1836" s="774"/>
      <c r="O1836" s="774"/>
      <c r="P1836" s="774"/>
      <c r="Q1836" s="774"/>
      <c r="R1836" s="774"/>
      <c r="S1836" s="774"/>
    </row>
    <row r="1837" spans="14:19" ht="29.1" customHeight="1">
      <c r="N1837" s="774"/>
      <c r="O1837" s="774"/>
      <c r="P1837" s="774"/>
      <c r="Q1837" s="774"/>
      <c r="R1837" s="774"/>
      <c r="S1837" s="774"/>
    </row>
    <row r="1838" spans="14:19" ht="29.1" customHeight="1">
      <c r="N1838" s="774"/>
      <c r="O1838" s="774"/>
      <c r="P1838" s="774"/>
      <c r="Q1838" s="774"/>
      <c r="R1838" s="774"/>
      <c r="S1838" s="774"/>
    </row>
    <row r="1839" spans="14:19" ht="29.1" customHeight="1">
      <c r="N1839" s="774"/>
      <c r="O1839" s="774"/>
      <c r="P1839" s="774"/>
      <c r="Q1839" s="774"/>
      <c r="R1839" s="774"/>
      <c r="S1839" s="774"/>
    </row>
    <row r="1840" spans="14:19" ht="29.1" customHeight="1">
      <c r="N1840" s="774"/>
      <c r="O1840" s="774"/>
      <c r="P1840" s="774"/>
      <c r="Q1840" s="774"/>
      <c r="R1840" s="774"/>
      <c r="S1840" s="774"/>
    </row>
    <row r="1841" spans="14:19" ht="29.1" customHeight="1">
      <c r="N1841" s="774"/>
      <c r="O1841" s="774"/>
      <c r="P1841" s="774"/>
      <c r="Q1841" s="774"/>
      <c r="R1841" s="774"/>
      <c r="S1841" s="774"/>
    </row>
    <row r="1842" spans="14:19" ht="29.1" customHeight="1">
      <c r="N1842" s="774"/>
      <c r="O1842" s="774"/>
      <c r="P1842" s="774"/>
      <c r="Q1842" s="774"/>
      <c r="R1842" s="774"/>
      <c r="S1842" s="774"/>
    </row>
    <row r="1843" spans="14:19" ht="29.1" customHeight="1">
      <c r="N1843" s="774"/>
      <c r="O1843" s="774"/>
      <c r="P1843" s="774"/>
      <c r="Q1843" s="774"/>
      <c r="R1843" s="774"/>
      <c r="S1843" s="774"/>
    </row>
    <row r="1844" spans="14:19" ht="29.1" customHeight="1">
      <c r="N1844" s="774"/>
      <c r="O1844" s="774"/>
      <c r="P1844" s="774"/>
      <c r="Q1844" s="774"/>
      <c r="R1844" s="774"/>
      <c r="S1844" s="774"/>
    </row>
    <row r="1845" spans="14:19" ht="29.1" customHeight="1">
      <c r="N1845" s="774"/>
      <c r="O1845" s="774"/>
      <c r="P1845" s="774"/>
      <c r="Q1845" s="774"/>
      <c r="R1845" s="774"/>
      <c r="S1845" s="774"/>
    </row>
    <row r="1846" spans="14:19" ht="29.1" customHeight="1">
      <c r="N1846" s="774"/>
      <c r="O1846" s="774"/>
      <c r="P1846" s="774"/>
      <c r="Q1846" s="774"/>
      <c r="R1846" s="774"/>
      <c r="S1846" s="774"/>
    </row>
    <row r="1847" spans="14:19" ht="29.1" customHeight="1">
      <c r="N1847" s="774"/>
      <c r="O1847" s="774"/>
      <c r="P1847" s="774"/>
      <c r="Q1847" s="774"/>
      <c r="R1847" s="774"/>
      <c r="S1847" s="774"/>
    </row>
    <row r="1848" spans="14:19" ht="29.1" customHeight="1">
      <c r="N1848" s="774"/>
      <c r="O1848" s="774"/>
      <c r="P1848" s="774"/>
      <c r="Q1848" s="774"/>
      <c r="R1848" s="774"/>
      <c r="S1848" s="774"/>
    </row>
    <row r="1849" spans="14:19" ht="29.1" customHeight="1">
      <c r="N1849" s="774"/>
      <c r="O1849" s="774"/>
      <c r="P1849" s="774"/>
      <c r="Q1849" s="774"/>
      <c r="R1849" s="774"/>
      <c r="S1849" s="774"/>
    </row>
    <row r="1850" spans="14:19" ht="29.1" customHeight="1">
      <c r="N1850" s="774"/>
      <c r="O1850" s="774"/>
      <c r="P1850" s="774"/>
      <c r="Q1850" s="774"/>
      <c r="R1850" s="774"/>
      <c r="S1850" s="774"/>
    </row>
    <row r="1851" spans="14:19" ht="29.1" customHeight="1">
      <c r="N1851" s="774"/>
      <c r="O1851" s="774"/>
      <c r="P1851" s="774"/>
      <c r="Q1851" s="774"/>
      <c r="R1851" s="774"/>
      <c r="S1851" s="774"/>
    </row>
    <row r="1852" spans="14:19" ht="29.1" customHeight="1">
      <c r="N1852" s="774"/>
      <c r="O1852" s="774"/>
      <c r="P1852" s="774"/>
      <c r="Q1852" s="774"/>
      <c r="R1852" s="774"/>
      <c r="S1852" s="774"/>
    </row>
    <row r="1853" spans="14:19" ht="29.1" customHeight="1">
      <c r="N1853" s="774"/>
      <c r="O1853" s="774"/>
      <c r="P1853" s="774"/>
      <c r="Q1853" s="774"/>
      <c r="R1853" s="774"/>
      <c r="S1853" s="774"/>
    </row>
    <row r="1854" spans="14:19" ht="29.1" customHeight="1">
      <c r="N1854" s="774"/>
      <c r="O1854" s="774"/>
      <c r="P1854" s="774"/>
      <c r="Q1854" s="774"/>
      <c r="R1854" s="774"/>
      <c r="S1854" s="774"/>
    </row>
    <row r="1855" spans="14:19" ht="29.1" customHeight="1">
      <c r="N1855" s="774"/>
      <c r="O1855" s="774"/>
      <c r="P1855" s="774"/>
      <c r="Q1855" s="774"/>
      <c r="R1855" s="774"/>
      <c r="S1855" s="774"/>
    </row>
    <row r="1856" spans="14:19" ht="29.1" customHeight="1">
      <c r="N1856" s="774"/>
      <c r="O1856" s="774"/>
      <c r="P1856" s="774"/>
      <c r="Q1856" s="774"/>
      <c r="R1856" s="774"/>
      <c r="S1856" s="774"/>
    </row>
    <row r="1857" spans="14:19" ht="29.1" customHeight="1">
      <c r="N1857" s="774"/>
      <c r="O1857" s="774"/>
      <c r="P1857" s="774"/>
      <c r="Q1857" s="774"/>
      <c r="R1857" s="774"/>
      <c r="S1857" s="774"/>
    </row>
    <row r="1858" spans="14:19" ht="29.1" customHeight="1">
      <c r="N1858" s="774"/>
      <c r="O1858" s="774"/>
      <c r="P1858" s="774"/>
      <c r="Q1858" s="774"/>
      <c r="R1858" s="774"/>
      <c r="S1858" s="774"/>
    </row>
    <row r="1859" spans="14:19" ht="29.1" customHeight="1">
      <c r="N1859" s="774"/>
      <c r="O1859" s="774"/>
      <c r="P1859" s="774"/>
      <c r="Q1859" s="774"/>
      <c r="R1859" s="774"/>
      <c r="S1859" s="774"/>
    </row>
    <row r="1860" spans="14:19" ht="29.1" customHeight="1">
      <c r="N1860" s="774"/>
      <c r="O1860" s="774"/>
      <c r="P1860" s="774"/>
      <c r="Q1860" s="774"/>
      <c r="R1860" s="774"/>
      <c r="S1860" s="774"/>
    </row>
    <row r="1861" spans="14:19" ht="29.1" customHeight="1">
      <c r="N1861" s="774"/>
      <c r="O1861" s="774"/>
      <c r="P1861" s="774"/>
      <c r="Q1861" s="774"/>
      <c r="R1861" s="774"/>
      <c r="S1861" s="774"/>
    </row>
    <row r="1862" spans="14:19" ht="29.1" customHeight="1">
      <c r="N1862" s="774"/>
      <c r="O1862" s="774"/>
      <c r="P1862" s="774"/>
      <c r="Q1862" s="774"/>
      <c r="R1862" s="774"/>
      <c r="S1862" s="774"/>
    </row>
    <row r="1863" spans="14:19" ht="29.1" customHeight="1">
      <c r="N1863" s="774"/>
      <c r="O1863" s="774"/>
      <c r="P1863" s="774"/>
      <c r="Q1863" s="774"/>
      <c r="R1863" s="774"/>
      <c r="S1863" s="774"/>
    </row>
    <row r="1864" spans="14:19" ht="29.1" customHeight="1">
      <c r="N1864" s="774"/>
      <c r="O1864" s="774"/>
      <c r="P1864" s="774"/>
      <c r="Q1864" s="774"/>
      <c r="R1864" s="774"/>
      <c r="S1864" s="774"/>
    </row>
    <row r="1865" spans="14:19" ht="29.1" customHeight="1">
      <c r="N1865" s="774"/>
      <c r="O1865" s="774"/>
      <c r="P1865" s="774"/>
      <c r="Q1865" s="774"/>
      <c r="R1865" s="774"/>
      <c r="S1865" s="774"/>
    </row>
    <row r="1866" spans="14:19" ht="29.1" customHeight="1">
      <c r="N1866" s="774"/>
      <c r="O1866" s="774"/>
      <c r="P1866" s="774"/>
      <c r="Q1866" s="774"/>
      <c r="R1866" s="774"/>
      <c r="S1866" s="774"/>
    </row>
    <row r="1867" spans="14:19" ht="29.1" customHeight="1">
      <c r="N1867" s="774"/>
      <c r="O1867" s="774"/>
      <c r="P1867" s="774"/>
      <c r="Q1867" s="774"/>
      <c r="R1867" s="774"/>
      <c r="S1867" s="774"/>
    </row>
    <row r="1868" spans="14:19" ht="29.1" customHeight="1">
      <c r="N1868" s="774"/>
      <c r="O1868" s="774"/>
      <c r="P1868" s="774"/>
      <c r="Q1868" s="774"/>
      <c r="R1868" s="774"/>
      <c r="S1868" s="774"/>
    </row>
    <row r="1869" spans="14:19" ht="29.1" customHeight="1">
      <c r="N1869" s="774"/>
      <c r="O1869" s="774"/>
      <c r="P1869" s="774"/>
      <c r="Q1869" s="774"/>
      <c r="R1869" s="774"/>
      <c r="S1869" s="774"/>
    </row>
    <row r="1870" spans="14:19" ht="29.1" customHeight="1">
      <c r="N1870" s="774"/>
      <c r="O1870" s="774"/>
      <c r="P1870" s="774"/>
      <c r="Q1870" s="774"/>
      <c r="R1870" s="774"/>
      <c r="S1870" s="774"/>
    </row>
    <row r="1871" spans="14:19" ht="29.1" customHeight="1">
      <c r="N1871" s="774"/>
      <c r="O1871" s="774"/>
      <c r="P1871" s="774"/>
      <c r="Q1871" s="774"/>
      <c r="R1871" s="774"/>
      <c r="S1871" s="774"/>
    </row>
    <row r="1872" spans="14:19" ht="29.1" customHeight="1">
      <c r="N1872" s="774"/>
      <c r="O1872" s="774"/>
      <c r="P1872" s="774"/>
      <c r="Q1872" s="774"/>
      <c r="R1872" s="774"/>
      <c r="S1872" s="774"/>
    </row>
    <row r="1873" spans="14:19" ht="29.1" customHeight="1">
      <c r="N1873" s="774"/>
      <c r="O1873" s="774"/>
      <c r="P1873" s="774"/>
      <c r="Q1873" s="774"/>
      <c r="R1873" s="774"/>
      <c r="S1873" s="774"/>
    </row>
    <row r="1874" spans="14:19" ht="29.1" customHeight="1">
      <c r="N1874" s="774"/>
      <c r="O1874" s="774"/>
      <c r="P1874" s="774"/>
      <c r="Q1874" s="774"/>
      <c r="R1874" s="774"/>
      <c r="S1874" s="774"/>
    </row>
    <row r="1875" spans="14:19" ht="29.1" customHeight="1">
      <c r="N1875" s="774"/>
      <c r="O1875" s="774"/>
      <c r="P1875" s="774"/>
      <c r="Q1875" s="774"/>
      <c r="R1875" s="774"/>
      <c r="S1875" s="774"/>
    </row>
    <row r="1876" spans="14:19" ht="29.1" customHeight="1">
      <c r="N1876" s="774"/>
      <c r="O1876" s="774"/>
      <c r="P1876" s="774"/>
      <c r="Q1876" s="774"/>
      <c r="R1876" s="774"/>
      <c r="S1876" s="774"/>
    </row>
    <row r="1877" spans="14:19" ht="29.1" customHeight="1">
      <c r="N1877" s="774"/>
      <c r="O1877" s="774"/>
      <c r="P1877" s="774"/>
      <c r="Q1877" s="774"/>
      <c r="R1877" s="774"/>
      <c r="S1877" s="774"/>
    </row>
    <row r="1878" spans="14:19" ht="29.1" customHeight="1">
      <c r="N1878" s="774"/>
      <c r="O1878" s="774"/>
      <c r="P1878" s="774"/>
      <c r="Q1878" s="774"/>
      <c r="R1878" s="774"/>
      <c r="S1878" s="774"/>
    </row>
    <row r="1879" spans="14:19" ht="29.1" customHeight="1">
      <c r="N1879" s="774"/>
      <c r="O1879" s="774"/>
      <c r="P1879" s="774"/>
      <c r="Q1879" s="774"/>
      <c r="R1879" s="774"/>
      <c r="S1879" s="774"/>
    </row>
    <row r="1880" spans="14:19" ht="29.1" customHeight="1">
      <c r="N1880" s="774"/>
      <c r="O1880" s="774"/>
      <c r="P1880" s="774"/>
      <c r="Q1880" s="774"/>
      <c r="R1880" s="774"/>
      <c r="S1880" s="774"/>
    </row>
    <row r="1881" spans="14:19" ht="29.1" customHeight="1">
      <c r="N1881" s="774"/>
      <c r="O1881" s="774"/>
      <c r="P1881" s="774"/>
      <c r="Q1881" s="774"/>
      <c r="R1881" s="774"/>
      <c r="S1881" s="774"/>
    </row>
    <row r="1882" spans="14:19" ht="29.1" customHeight="1">
      <c r="N1882" s="774"/>
      <c r="O1882" s="774"/>
      <c r="P1882" s="774"/>
      <c r="Q1882" s="774"/>
      <c r="R1882" s="774"/>
      <c r="S1882" s="774"/>
    </row>
    <row r="1883" spans="14:19" ht="29.1" customHeight="1">
      <c r="N1883" s="774"/>
      <c r="O1883" s="774"/>
      <c r="P1883" s="774"/>
      <c r="Q1883" s="774"/>
      <c r="R1883" s="774"/>
      <c r="S1883" s="774"/>
    </row>
    <row r="1884" spans="14:19" ht="29.1" customHeight="1">
      <c r="N1884" s="774"/>
      <c r="O1884" s="774"/>
      <c r="P1884" s="774"/>
      <c r="Q1884" s="774"/>
      <c r="R1884" s="774"/>
      <c r="S1884" s="774"/>
    </row>
    <row r="1885" spans="14:19" ht="29.1" customHeight="1">
      <c r="N1885" s="774"/>
      <c r="O1885" s="774"/>
      <c r="P1885" s="774"/>
      <c r="Q1885" s="774"/>
      <c r="R1885" s="774"/>
      <c r="S1885" s="774"/>
    </row>
    <row r="1886" spans="14:19" ht="29.1" customHeight="1">
      <c r="N1886" s="774"/>
      <c r="O1886" s="774"/>
      <c r="P1886" s="774"/>
      <c r="Q1886" s="774"/>
      <c r="R1886" s="774"/>
      <c r="S1886" s="774"/>
    </row>
    <row r="1887" spans="14:19" ht="29.1" customHeight="1">
      <c r="N1887" s="774"/>
      <c r="O1887" s="774"/>
      <c r="P1887" s="774"/>
      <c r="Q1887" s="774"/>
      <c r="R1887" s="774"/>
      <c r="S1887" s="774"/>
    </row>
    <row r="1888" spans="14:19" ht="29.1" customHeight="1">
      <c r="N1888" s="774"/>
      <c r="O1888" s="774"/>
      <c r="P1888" s="774"/>
      <c r="Q1888" s="774"/>
      <c r="R1888" s="774"/>
      <c r="S1888" s="774"/>
    </row>
    <row r="1889" spans="14:19" ht="29.1" customHeight="1">
      <c r="N1889" s="774"/>
      <c r="O1889" s="774"/>
      <c r="P1889" s="774"/>
      <c r="Q1889" s="774"/>
      <c r="R1889" s="774"/>
      <c r="S1889" s="774"/>
    </row>
    <row r="1890" spans="14:19" ht="29.1" customHeight="1">
      <c r="N1890" s="774"/>
      <c r="O1890" s="774"/>
      <c r="P1890" s="774"/>
      <c r="Q1890" s="774"/>
      <c r="R1890" s="774"/>
      <c r="S1890" s="774"/>
    </row>
    <row r="1891" spans="14:19" ht="29.1" customHeight="1">
      <c r="N1891" s="774"/>
      <c r="O1891" s="774"/>
      <c r="P1891" s="774"/>
      <c r="Q1891" s="774"/>
      <c r="R1891" s="774"/>
      <c r="S1891" s="774"/>
    </row>
    <row r="1892" spans="14:19" ht="29.1" customHeight="1">
      <c r="N1892" s="774"/>
      <c r="O1892" s="774"/>
      <c r="P1892" s="774"/>
      <c r="Q1892" s="774"/>
      <c r="R1892" s="774"/>
      <c r="S1892" s="774"/>
    </row>
    <row r="1893" spans="14:19" ht="29.1" customHeight="1">
      <c r="N1893" s="774"/>
      <c r="O1893" s="774"/>
      <c r="P1893" s="774"/>
      <c r="Q1893" s="774"/>
      <c r="R1893" s="774"/>
      <c r="S1893" s="774"/>
    </row>
    <row r="1894" spans="14:19" ht="29.1" customHeight="1">
      <c r="N1894" s="774"/>
      <c r="O1894" s="774"/>
      <c r="P1894" s="774"/>
      <c r="Q1894" s="774"/>
      <c r="R1894" s="774"/>
      <c r="S1894" s="774"/>
    </row>
    <row r="1895" spans="14:19" ht="29.1" customHeight="1">
      <c r="N1895" s="774"/>
      <c r="O1895" s="774"/>
      <c r="P1895" s="774"/>
      <c r="Q1895" s="774"/>
      <c r="R1895" s="774"/>
      <c r="S1895" s="774"/>
    </row>
    <row r="1896" spans="14:19" ht="29.1" customHeight="1">
      <c r="N1896" s="774"/>
      <c r="O1896" s="774"/>
      <c r="P1896" s="774"/>
      <c r="Q1896" s="774"/>
      <c r="R1896" s="774"/>
      <c r="S1896" s="774"/>
    </row>
    <row r="1897" spans="14:19" ht="29.1" customHeight="1">
      <c r="N1897" s="774"/>
      <c r="O1897" s="774"/>
      <c r="P1897" s="774"/>
      <c r="Q1897" s="774"/>
      <c r="R1897" s="774"/>
      <c r="S1897" s="774"/>
    </row>
    <row r="1898" spans="14:19" ht="29.1" customHeight="1">
      <c r="N1898" s="774"/>
      <c r="O1898" s="774"/>
      <c r="P1898" s="774"/>
      <c r="Q1898" s="774"/>
      <c r="R1898" s="774"/>
      <c r="S1898" s="774"/>
    </row>
    <row r="1899" spans="14:19" ht="29.1" customHeight="1">
      <c r="N1899" s="774"/>
      <c r="O1899" s="774"/>
      <c r="P1899" s="774"/>
      <c r="Q1899" s="774"/>
      <c r="R1899" s="774"/>
      <c r="S1899" s="774"/>
    </row>
    <row r="1900" spans="14:19" ht="29.1" customHeight="1">
      <c r="N1900" s="774"/>
      <c r="O1900" s="774"/>
      <c r="P1900" s="774"/>
      <c r="Q1900" s="774"/>
      <c r="R1900" s="774"/>
      <c r="S1900" s="774"/>
    </row>
    <row r="1901" spans="14:19" ht="29.1" customHeight="1">
      <c r="N1901" s="774"/>
      <c r="O1901" s="774"/>
      <c r="P1901" s="774"/>
      <c r="Q1901" s="774"/>
      <c r="R1901" s="774"/>
      <c r="S1901" s="774"/>
    </row>
    <row r="1902" spans="14:19" ht="29.1" customHeight="1">
      <c r="N1902" s="774"/>
      <c r="O1902" s="774"/>
      <c r="P1902" s="774"/>
      <c r="Q1902" s="774"/>
      <c r="R1902" s="774"/>
      <c r="S1902" s="774"/>
    </row>
    <row r="1903" spans="14:19" ht="29.1" customHeight="1">
      <c r="N1903" s="774"/>
      <c r="O1903" s="774"/>
      <c r="P1903" s="774"/>
      <c r="Q1903" s="774"/>
      <c r="R1903" s="774"/>
      <c r="S1903" s="774"/>
    </row>
    <row r="1904" spans="14:19" ht="29.1" customHeight="1">
      <c r="N1904" s="774"/>
      <c r="O1904" s="774"/>
      <c r="P1904" s="774"/>
      <c r="Q1904" s="774"/>
      <c r="R1904" s="774"/>
      <c r="S1904" s="774"/>
    </row>
    <row r="1905" spans="14:19" ht="29.1" customHeight="1">
      <c r="N1905" s="774"/>
      <c r="O1905" s="774"/>
      <c r="P1905" s="774"/>
      <c r="Q1905" s="774"/>
      <c r="R1905" s="774"/>
      <c r="S1905" s="774"/>
    </row>
    <row r="1906" spans="14:19" ht="29.1" customHeight="1">
      <c r="N1906" s="774"/>
      <c r="O1906" s="774"/>
      <c r="P1906" s="774"/>
      <c r="Q1906" s="774"/>
      <c r="R1906" s="774"/>
      <c r="S1906" s="774"/>
    </row>
    <row r="1907" spans="14:19" ht="29.1" customHeight="1">
      <c r="N1907" s="774"/>
      <c r="O1907" s="774"/>
      <c r="P1907" s="774"/>
      <c r="Q1907" s="774"/>
      <c r="R1907" s="774"/>
      <c r="S1907" s="774"/>
    </row>
    <row r="1908" spans="14:19" ht="29.1" customHeight="1">
      <c r="N1908" s="774"/>
      <c r="O1908" s="774"/>
      <c r="P1908" s="774"/>
      <c r="Q1908" s="774"/>
      <c r="R1908" s="774"/>
      <c r="S1908" s="774"/>
    </row>
    <row r="1909" spans="14:19" ht="29.1" customHeight="1">
      <c r="N1909" s="774"/>
      <c r="O1909" s="774"/>
      <c r="P1909" s="774"/>
      <c r="Q1909" s="774"/>
      <c r="R1909" s="774"/>
      <c r="S1909" s="774"/>
    </row>
    <row r="1910" spans="14:19" ht="29.1" customHeight="1">
      <c r="N1910" s="774"/>
      <c r="O1910" s="774"/>
      <c r="P1910" s="774"/>
      <c r="Q1910" s="774"/>
      <c r="R1910" s="774"/>
      <c r="S1910" s="774"/>
    </row>
    <row r="1911" spans="14:19" ht="29.1" customHeight="1">
      <c r="N1911" s="774"/>
      <c r="O1911" s="774"/>
      <c r="P1911" s="774"/>
      <c r="Q1911" s="774"/>
      <c r="R1911" s="774"/>
      <c r="S1911" s="774"/>
    </row>
    <row r="1912" spans="14:19" ht="29.1" customHeight="1">
      <c r="N1912" s="774"/>
      <c r="O1912" s="774"/>
      <c r="P1912" s="774"/>
      <c r="Q1912" s="774"/>
      <c r="R1912" s="774"/>
      <c r="S1912" s="774"/>
    </row>
    <row r="1913" spans="14:19" ht="29.1" customHeight="1">
      <c r="N1913" s="774"/>
      <c r="O1913" s="774"/>
      <c r="P1913" s="774"/>
      <c r="Q1913" s="774"/>
      <c r="R1913" s="774"/>
      <c r="S1913" s="774"/>
    </row>
    <row r="1914" spans="14:19" ht="29.1" customHeight="1">
      <c r="N1914" s="774"/>
      <c r="O1914" s="774"/>
      <c r="P1914" s="774"/>
      <c r="Q1914" s="774"/>
      <c r="R1914" s="774"/>
      <c r="S1914" s="774"/>
    </row>
    <row r="1915" spans="14:19" ht="29.1" customHeight="1">
      <c r="N1915" s="774"/>
      <c r="O1915" s="774"/>
      <c r="P1915" s="774"/>
      <c r="Q1915" s="774"/>
      <c r="R1915" s="774"/>
      <c r="S1915" s="774"/>
    </row>
    <row r="1916" spans="14:19" ht="29.1" customHeight="1">
      <c r="N1916" s="774"/>
      <c r="O1916" s="774"/>
      <c r="P1916" s="774"/>
      <c r="Q1916" s="774"/>
      <c r="R1916" s="774"/>
      <c r="S1916" s="774"/>
    </row>
    <row r="1917" spans="14:19" ht="29.1" customHeight="1">
      <c r="N1917" s="774"/>
      <c r="O1917" s="774"/>
      <c r="P1917" s="774"/>
      <c r="Q1917" s="774"/>
      <c r="R1917" s="774"/>
      <c r="S1917" s="774"/>
    </row>
    <row r="1918" spans="14:19" ht="29.1" customHeight="1">
      <c r="N1918" s="774"/>
      <c r="O1918" s="774"/>
      <c r="P1918" s="774"/>
      <c r="Q1918" s="774"/>
      <c r="R1918" s="774"/>
      <c r="S1918" s="774"/>
    </row>
    <row r="1919" spans="14:19" ht="29.1" customHeight="1">
      <c r="N1919" s="774"/>
      <c r="O1919" s="774"/>
      <c r="P1919" s="774"/>
      <c r="Q1919" s="774"/>
      <c r="R1919" s="774"/>
      <c r="S1919" s="774"/>
    </row>
    <row r="1920" spans="14:19" ht="29.1" customHeight="1">
      <c r="N1920" s="774"/>
      <c r="O1920" s="774"/>
      <c r="P1920" s="774"/>
      <c r="Q1920" s="774"/>
      <c r="R1920" s="774"/>
      <c r="S1920" s="774"/>
    </row>
    <row r="1921" spans="14:19" ht="29.1" customHeight="1">
      <c r="N1921" s="774"/>
      <c r="O1921" s="774"/>
      <c r="P1921" s="774"/>
      <c r="Q1921" s="774"/>
      <c r="R1921" s="774"/>
      <c r="S1921" s="774"/>
    </row>
    <row r="1922" spans="14:19" ht="29.1" customHeight="1">
      <c r="N1922" s="774"/>
      <c r="O1922" s="774"/>
      <c r="P1922" s="774"/>
      <c r="Q1922" s="774"/>
      <c r="R1922" s="774"/>
      <c r="S1922" s="774"/>
    </row>
    <row r="1923" spans="14:19" ht="29.1" customHeight="1">
      <c r="N1923" s="774"/>
      <c r="O1923" s="774"/>
      <c r="P1923" s="774"/>
      <c r="Q1923" s="774"/>
      <c r="R1923" s="774"/>
      <c r="S1923" s="774"/>
    </row>
    <row r="1924" spans="14:19" ht="29.1" customHeight="1">
      <c r="N1924" s="774"/>
      <c r="O1924" s="774"/>
      <c r="P1924" s="774"/>
      <c r="Q1924" s="774"/>
      <c r="R1924" s="774"/>
      <c r="S1924" s="774"/>
    </row>
    <row r="1925" spans="14:19" ht="29.1" customHeight="1">
      <c r="N1925" s="774"/>
      <c r="O1925" s="774"/>
      <c r="P1925" s="774"/>
      <c r="Q1925" s="774"/>
      <c r="R1925" s="774"/>
      <c r="S1925" s="774"/>
    </row>
    <row r="1926" spans="14:19" ht="29.1" customHeight="1">
      <c r="N1926" s="774"/>
      <c r="O1926" s="774"/>
      <c r="P1926" s="774"/>
      <c r="Q1926" s="774"/>
      <c r="R1926" s="774"/>
      <c r="S1926" s="774"/>
    </row>
    <row r="1927" spans="14:19" ht="29.1" customHeight="1">
      <c r="N1927" s="774"/>
      <c r="O1927" s="774"/>
      <c r="P1927" s="774"/>
      <c r="Q1927" s="774"/>
      <c r="R1927" s="774"/>
      <c r="S1927" s="774"/>
    </row>
    <row r="1928" spans="14:19" ht="29.1" customHeight="1">
      <c r="N1928" s="774"/>
      <c r="O1928" s="774"/>
      <c r="P1928" s="774"/>
      <c r="Q1928" s="774"/>
      <c r="R1928" s="774"/>
      <c r="S1928" s="774"/>
    </row>
    <row r="1929" spans="14:19" ht="29.1" customHeight="1">
      <c r="N1929" s="774"/>
      <c r="O1929" s="774"/>
      <c r="P1929" s="774"/>
      <c r="Q1929" s="774"/>
      <c r="R1929" s="774"/>
      <c r="S1929" s="774"/>
    </row>
    <row r="1930" spans="14:19" ht="29.1" customHeight="1">
      <c r="N1930" s="774"/>
      <c r="O1930" s="774"/>
      <c r="P1930" s="774"/>
      <c r="Q1930" s="774"/>
      <c r="R1930" s="774"/>
      <c r="S1930" s="774"/>
    </row>
    <row r="1931" spans="14:19" ht="29.1" customHeight="1">
      <c r="N1931" s="774"/>
      <c r="O1931" s="774"/>
      <c r="P1931" s="774"/>
      <c r="Q1931" s="774"/>
      <c r="R1931" s="774"/>
      <c r="S1931" s="774"/>
    </row>
    <row r="1932" spans="14:19" ht="29.1" customHeight="1">
      <c r="N1932" s="774"/>
      <c r="O1932" s="774"/>
      <c r="P1932" s="774"/>
      <c r="Q1932" s="774"/>
      <c r="R1932" s="774"/>
      <c r="S1932" s="774"/>
    </row>
    <row r="1933" spans="14:19" ht="29.1" customHeight="1">
      <c r="N1933" s="774"/>
      <c r="O1933" s="774"/>
      <c r="P1933" s="774"/>
      <c r="Q1933" s="774"/>
      <c r="R1933" s="774"/>
      <c r="S1933" s="774"/>
    </row>
    <row r="1934" spans="14:19" ht="29.1" customHeight="1">
      <c r="N1934" s="774"/>
      <c r="O1934" s="774"/>
      <c r="P1934" s="774"/>
      <c r="Q1934" s="774"/>
      <c r="R1934" s="774"/>
      <c r="S1934" s="774"/>
    </row>
    <row r="1935" spans="14:19" ht="29.1" customHeight="1">
      <c r="N1935" s="774"/>
      <c r="O1935" s="774"/>
      <c r="P1935" s="774"/>
      <c r="Q1935" s="774"/>
      <c r="R1935" s="774"/>
      <c r="S1935" s="774"/>
    </row>
    <row r="1936" spans="14:19" ht="29.1" customHeight="1">
      <c r="N1936" s="774"/>
      <c r="O1936" s="774"/>
      <c r="P1936" s="774"/>
      <c r="Q1936" s="774"/>
      <c r="R1936" s="774"/>
      <c r="S1936" s="774"/>
    </row>
    <row r="1937" spans="14:19" ht="29.1" customHeight="1">
      <c r="N1937" s="774"/>
      <c r="O1937" s="774"/>
      <c r="P1937" s="774"/>
      <c r="Q1937" s="774"/>
      <c r="R1937" s="774"/>
      <c r="S1937" s="774"/>
    </row>
    <row r="1938" spans="14:19" ht="29.1" customHeight="1">
      <c r="N1938" s="774"/>
      <c r="O1938" s="774"/>
      <c r="P1938" s="774"/>
      <c r="Q1938" s="774"/>
      <c r="R1938" s="774"/>
      <c r="S1938" s="774"/>
    </row>
    <row r="1939" spans="14:19" ht="29.1" customHeight="1">
      <c r="N1939" s="774"/>
      <c r="O1939" s="774"/>
      <c r="P1939" s="774"/>
      <c r="Q1939" s="774"/>
      <c r="R1939" s="774"/>
      <c r="S1939" s="774"/>
    </row>
    <row r="1940" spans="14:19" ht="29.1" customHeight="1">
      <c r="N1940" s="774"/>
      <c r="O1940" s="774"/>
      <c r="P1940" s="774"/>
      <c r="Q1940" s="774"/>
      <c r="R1940" s="774"/>
      <c r="S1940" s="774"/>
    </row>
    <row r="1941" spans="14:19" ht="29.1" customHeight="1">
      <c r="N1941" s="774"/>
      <c r="O1941" s="774"/>
      <c r="P1941" s="774"/>
      <c r="Q1941" s="774"/>
      <c r="R1941" s="774"/>
      <c r="S1941" s="774"/>
    </row>
    <row r="1942" spans="14:19" ht="29.1" customHeight="1">
      <c r="N1942" s="774"/>
      <c r="O1942" s="774"/>
      <c r="P1942" s="774"/>
      <c r="Q1942" s="774"/>
      <c r="R1942" s="774"/>
      <c r="S1942" s="774"/>
    </row>
    <row r="1943" spans="14:19" ht="29.1" customHeight="1">
      <c r="N1943" s="774"/>
      <c r="O1943" s="774"/>
      <c r="P1943" s="774"/>
      <c r="Q1943" s="774"/>
      <c r="R1943" s="774"/>
      <c r="S1943" s="774"/>
    </row>
    <row r="1944" spans="14:19" ht="29.1" customHeight="1">
      <c r="N1944" s="774"/>
      <c r="O1944" s="774"/>
      <c r="P1944" s="774"/>
      <c r="Q1944" s="774"/>
      <c r="R1944" s="774"/>
      <c r="S1944" s="774"/>
    </row>
    <row r="1945" spans="14:19" ht="29.1" customHeight="1">
      <c r="N1945" s="774"/>
      <c r="O1945" s="774"/>
      <c r="P1945" s="774"/>
      <c r="Q1945" s="774"/>
      <c r="R1945" s="774"/>
      <c r="S1945" s="774"/>
    </row>
    <row r="1946" spans="14:19" ht="29.1" customHeight="1">
      <c r="N1946" s="774"/>
      <c r="O1946" s="774"/>
      <c r="P1946" s="774"/>
      <c r="Q1946" s="774"/>
      <c r="R1946" s="774"/>
      <c r="S1946" s="774"/>
    </row>
    <row r="1947" spans="14:19" ht="29.1" customHeight="1">
      <c r="N1947" s="774"/>
      <c r="O1947" s="774"/>
      <c r="P1947" s="774"/>
      <c r="Q1947" s="774"/>
      <c r="R1947" s="774"/>
      <c r="S1947" s="774"/>
    </row>
    <row r="1948" spans="14:19" ht="29.1" customHeight="1">
      <c r="N1948" s="774"/>
      <c r="O1948" s="774"/>
      <c r="P1948" s="774"/>
      <c r="Q1948" s="774"/>
      <c r="R1948" s="774"/>
      <c r="S1948" s="774"/>
    </row>
    <row r="1949" spans="14:19" ht="29.1" customHeight="1">
      <c r="N1949" s="774"/>
      <c r="O1949" s="774"/>
      <c r="P1949" s="774"/>
      <c r="Q1949" s="774"/>
      <c r="R1949" s="774"/>
      <c r="S1949" s="774"/>
    </row>
    <row r="1950" spans="14:19" ht="29.1" customHeight="1">
      <c r="N1950" s="774"/>
      <c r="O1950" s="774"/>
      <c r="P1950" s="774"/>
      <c r="Q1950" s="774"/>
      <c r="R1950" s="774"/>
      <c r="S1950" s="774"/>
    </row>
    <row r="1951" spans="14:19" ht="29.1" customHeight="1">
      <c r="N1951" s="774"/>
      <c r="O1951" s="774"/>
      <c r="P1951" s="774"/>
      <c r="Q1951" s="774"/>
      <c r="R1951" s="774"/>
      <c r="S1951" s="774"/>
    </row>
    <row r="1952" spans="14:19" ht="29.1" customHeight="1">
      <c r="N1952" s="774"/>
      <c r="O1952" s="774"/>
      <c r="P1952" s="774"/>
      <c r="Q1952" s="774"/>
      <c r="R1952" s="774"/>
      <c r="S1952" s="774"/>
    </row>
    <row r="1953" spans="14:19" ht="29.1" customHeight="1">
      <c r="N1953" s="774"/>
      <c r="O1953" s="774"/>
      <c r="P1953" s="774"/>
      <c r="Q1953" s="774"/>
      <c r="R1953" s="774"/>
      <c r="S1953" s="774"/>
    </row>
    <row r="1954" spans="14:19" ht="29.1" customHeight="1">
      <c r="N1954" s="774"/>
      <c r="O1954" s="774"/>
      <c r="P1954" s="774"/>
      <c r="Q1954" s="774"/>
      <c r="R1954" s="774"/>
      <c r="S1954" s="774"/>
    </row>
    <row r="1955" spans="14:19" ht="29.1" customHeight="1">
      <c r="N1955" s="774"/>
      <c r="O1955" s="774"/>
      <c r="P1955" s="774"/>
      <c r="Q1955" s="774"/>
      <c r="R1955" s="774"/>
      <c r="S1955" s="774"/>
    </row>
    <row r="1956" spans="14:19" ht="29.1" customHeight="1">
      <c r="N1956" s="774"/>
      <c r="O1956" s="774"/>
      <c r="P1956" s="774"/>
      <c r="Q1956" s="774"/>
      <c r="R1956" s="774"/>
      <c r="S1956" s="774"/>
    </row>
    <row r="1957" spans="14:19" ht="29.1" customHeight="1">
      <c r="N1957" s="774"/>
      <c r="O1957" s="774"/>
      <c r="P1957" s="774"/>
      <c r="Q1957" s="774"/>
      <c r="R1957" s="774"/>
      <c r="S1957" s="774"/>
    </row>
    <row r="1958" spans="14:19" ht="29.1" customHeight="1">
      <c r="N1958" s="774"/>
      <c r="O1958" s="774"/>
      <c r="P1958" s="774"/>
      <c r="Q1958" s="774"/>
      <c r="R1958" s="774"/>
      <c r="S1958" s="774"/>
    </row>
    <row r="1959" spans="14:19" ht="29.1" customHeight="1">
      <c r="N1959" s="774"/>
      <c r="O1959" s="774"/>
      <c r="P1959" s="774"/>
      <c r="Q1959" s="774"/>
      <c r="R1959" s="774"/>
      <c r="S1959" s="774"/>
    </row>
    <row r="1960" spans="14:19" ht="29.1" customHeight="1">
      <c r="N1960" s="774"/>
      <c r="O1960" s="774"/>
      <c r="P1960" s="774"/>
      <c r="Q1960" s="774"/>
      <c r="R1960" s="774"/>
      <c r="S1960" s="774"/>
    </row>
    <row r="1961" spans="14:19" ht="29.1" customHeight="1">
      <c r="N1961" s="774"/>
      <c r="O1961" s="774"/>
      <c r="P1961" s="774"/>
      <c r="Q1961" s="774"/>
      <c r="R1961" s="774"/>
      <c r="S1961" s="774"/>
    </row>
    <row r="1962" spans="14:19" ht="29.1" customHeight="1">
      <c r="N1962" s="774"/>
      <c r="O1962" s="774"/>
      <c r="P1962" s="774"/>
      <c r="Q1962" s="774"/>
      <c r="R1962" s="774"/>
      <c r="S1962" s="774"/>
    </row>
    <row r="1963" spans="14:19" ht="29.1" customHeight="1">
      <c r="N1963" s="774"/>
      <c r="O1963" s="774"/>
      <c r="P1963" s="774"/>
      <c r="Q1963" s="774"/>
      <c r="R1963" s="774"/>
      <c r="S1963" s="774"/>
    </row>
    <row r="1964" spans="14:19" ht="29.1" customHeight="1">
      <c r="N1964" s="774"/>
      <c r="O1964" s="774"/>
      <c r="P1964" s="774"/>
      <c r="Q1964" s="774"/>
      <c r="R1964" s="774"/>
      <c r="S1964" s="774"/>
    </row>
    <row r="1965" spans="14:19" ht="29.1" customHeight="1">
      <c r="N1965" s="774"/>
      <c r="O1965" s="774"/>
      <c r="P1965" s="774"/>
      <c r="Q1965" s="774"/>
      <c r="R1965" s="774"/>
      <c r="S1965" s="774"/>
    </row>
    <row r="1966" spans="14:19" ht="29.1" customHeight="1">
      <c r="N1966" s="774"/>
      <c r="O1966" s="774"/>
      <c r="P1966" s="774"/>
      <c r="Q1966" s="774"/>
      <c r="R1966" s="774"/>
      <c r="S1966" s="774"/>
    </row>
    <row r="1967" spans="14:19" ht="29.1" customHeight="1">
      <c r="N1967" s="774"/>
      <c r="O1967" s="774"/>
      <c r="P1967" s="774"/>
      <c r="Q1967" s="774"/>
      <c r="R1967" s="774"/>
      <c r="S1967" s="774"/>
    </row>
    <row r="1968" spans="14:19" ht="29.1" customHeight="1">
      <c r="N1968" s="774"/>
      <c r="O1968" s="774"/>
      <c r="P1968" s="774"/>
      <c r="Q1968" s="774"/>
      <c r="R1968" s="774"/>
      <c r="S1968" s="774"/>
    </row>
    <row r="1969" spans="14:19" ht="29.1" customHeight="1">
      <c r="N1969" s="774"/>
      <c r="O1969" s="774"/>
      <c r="P1969" s="774"/>
      <c r="Q1969" s="774"/>
      <c r="R1969" s="774"/>
      <c r="S1969" s="774"/>
    </row>
    <row r="1970" spans="14:19" ht="29.1" customHeight="1">
      <c r="N1970" s="774"/>
      <c r="O1970" s="774"/>
      <c r="P1970" s="774"/>
      <c r="Q1970" s="774"/>
      <c r="R1970" s="774"/>
      <c r="S1970" s="774"/>
    </row>
    <row r="1971" spans="14:19" ht="29.1" customHeight="1">
      <c r="N1971" s="774"/>
      <c r="O1971" s="774"/>
      <c r="P1971" s="774"/>
      <c r="Q1971" s="774"/>
      <c r="R1971" s="774"/>
      <c r="S1971" s="774"/>
    </row>
    <row r="1972" spans="14:19" ht="29.1" customHeight="1">
      <c r="N1972" s="774"/>
      <c r="O1972" s="774"/>
      <c r="P1972" s="774"/>
      <c r="Q1972" s="774"/>
      <c r="R1972" s="774"/>
      <c r="S1972" s="774"/>
    </row>
    <row r="1973" spans="14:19" ht="29.1" customHeight="1">
      <c r="N1973" s="774"/>
      <c r="O1973" s="774"/>
      <c r="P1973" s="774"/>
      <c r="Q1973" s="774"/>
      <c r="R1973" s="774"/>
      <c r="S1973" s="774"/>
    </row>
    <row r="1974" spans="14:19" ht="29.1" customHeight="1">
      <c r="N1974" s="774"/>
      <c r="O1974" s="774"/>
      <c r="P1974" s="774"/>
      <c r="Q1974" s="774"/>
      <c r="R1974" s="774"/>
      <c r="S1974" s="774"/>
    </row>
    <row r="1975" spans="14:19" ht="29.1" customHeight="1">
      <c r="N1975" s="774"/>
      <c r="O1975" s="774"/>
      <c r="P1975" s="774"/>
      <c r="Q1975" s="774"/>
      <c r="R1975" s="774"/>
      <c r="S1975" s="774"/>
    </row>
    <row r="1976" spans="14:19" ht="29.1" customHeight="1">
      <c r="N1976" s="774"/>
      <c r="O1976" s="774"/>
      <c r="P1976" s="774"/>
      <c r="Q1976" s="774"/>
      <c r="R1976" s="774"/>
      <c r="S1976" s="774"/>
    </row>
    <row r="1977" spans="14:19" ht="29.1" customHeight="1">
      <c r="N1977" s="774"/>
      <c r="O1977" s="774"/>
      <c r="P1977" s="774"/>
      <c r="Q1977" s="774"/>
      <c r="R1977" s="774"/>
      <c r="S1977" s="774"/>
    </row>
    <row r="1978" spans="14:19" ht="29.1" customHeight="1">
      <c r="N1978" s="774"/>
      <c r="O1978" s="774"/>
      <c r="P1978" s="774"/>
      <c r="Q1978" s="774"/>
      <c r="R1978" s="774"/>
      <c r="S1978" s="774"/>
    </row>
    <row r="1979" spans="14:19" ht="29.1" customHeight="1">
      <c r="N1979" s="774"/>
      <c r="O1979" s="774"/>
      <c r="P1979" s="774"/>
      <c r="Q1979" s="774"/>
      <c r="R1979" s="774"/>
      <c r="S1979" s="774"/>
    </row>
    <row r="1980" spans="14:19" ht="29.1" customHeight="1">
      <c r="N1980" s="774"/>
      <c r="O1980" s="774"/>
      <c r="P1980" s="774"/>
      <c r="Q1980" s="774"/>
      <c r="R1980" s="774"/>
      <c r="S1980" s="774"/>
    </row>
    <row r="1981" spans="14:19" ht="29.1" customHeight="1">
      <c r="N1981" s="774"/>
      <c r="O1981" s="774"/>
      <c r="P1981" s="774"/>
      <c r="Q1981" s="774"/>
      <c r="R1981" s="774"/>
      <c r="S1981" s="774"/>
    </row>
    <row r="1982" spans="14:19" ht="29.1" customHeight="1">
      <c r="N1982" s="774"/>
      <c r="O1982" s="774"/>
      <c r="P1982" s="774"/>
      <c r="Q1982" s="774"/>
      <c r="R1982" s="774"/>
      <c r="S1982" s="774"/>
    </row>
    <row r="1983" spans="14:19" ht="29.1" customHeight="1">
      <c r="N1983" s="774"/>
      <c r="O1983" s="774"/>
      <c r="P1983" s="774"/>
      <c r="Q1983" s="774"/>
      <c r="R1983" s="774"/>
      <c r="S1983" s="774"/>
    </row>
    <row r="1984" spans="14:19" ht="29.1" customHeight="1">
      <c r="N1984" s="774"/>
      <c r="O1984" s="774"/>
      <c r="P1984" s="774"/>
      <c r="Q1984" s="774"/>
      <c r="R1984" s="774"/>
      <c r="S1984" s="774"/>
    </row>
    <row r="1985" spans="14:19" ht="29.1" customHeight="1">
      <c r="N1985" s="774"/>
      <c r="O1985" s="774"/>
      <c r="P1985" s="774"/>
      <c r="Q1985" s="774"/>
      <c r="R1985" s="774"/>
      <c r="S1985" s="774"/>
    </row>
    <row r="1986" spans="14:19" ht="29.1" customHeight="1">
      <c r="N1986" s="774"/>
      <c r="O1986" s="774"/>
      <c r="P1986" s="774"/>
      <c r="Q1986" s="774"/>
      <c r="R1986" s="774"/>
      <c r="S1986" s="774"/>
    </row>
    <row r="1987" spans="14:19" ht="29.1" customHeight="1">
      <c r="N1987" s="774"/>
      <c r="O1987" s="774"/>
      <c r="P1987" s="774"/>
      <c r="Q1987" s="774"/>
      <c r="R1987" s="774"/>
      <c r="S1987" s="774"/>
    </row>
    <row r="1988" spans="14:19" ht="29.1" customHeight="1">
      <c r="N1988" s="774"/>
      <c r="O1988" s="774"/>
      <c r="P1988" s="774"/>
      <c r="Q1988" s="774"/>
      <c r="R1988" s="774"/>
      <c r="S1988" s="774"/>
    </row>
    <row r="1989" spans="14:19" ht="29.1" customHeight="1">
      <c r="N1989" s="774"/>
      <c r="O1989" s="774"/>
      <c r="P1989" s="774"/>
      <c r="Q1989" s="774"/>
      <c r="R1989" s="774"/>
      <c r="S1989" s="774"/>
    </row>
    <row r="1990" spans="14:19" ht="29.1" customHeight="1">
      <c r="N1990" s="774"/>
      <c r="O1990" s="774"/>
      <c r="P1990" s="774"/>
      <c r="Q1990" s="774"/>
      <c r="R1990" s="774"/>
      <c r="S1990" s="774"/>
    </row>
    <row r="1991" spans="14:19" ht="29.1" customHeight="1">
      <c r="N1991" s="774"/>
      <c r="O1991" s="774"/>
      <c r="P1991" s="774"/>
      <c r="Q1991" s="774"/>
      <c r="R1991" s="774"/>
      <c r="S1991" s="774"/>
    </row>
    <row r="1992" spans="14:19" ht="29.1" customHeight="1">
      <c r="N1992" s="774"/>
      <c r="O1992" s="774"/>
      <c r="P1992" s="774"/>
      <c r="Q1992" s="774"/>
      <c r="R1992" s="774"/>
      <c r="S1992" s="774"/>
    </row>
    <row r="1993" spans="14:19" ht="29.1" customHeight="1">
      <c r="N1993" s="774"/>
      <c r="O1993" s="774"/>
      <c r="P1993" s="774"/>
      <c r="Q1993" s="774"/>
      <c r="R1993" s="774"/>
      <c r="S1993" s="774"/>
    </row>
    <row r="1994" spans="14:19" ht="29.1" customHeight="1">
      <c r="N1994" s="774"/>
      <c r="O1994" s="774"/>
      <c r="P1994" s="774"/>
      <c r="Q1994" s="774"/>
      <c r="R1994" s="774"/>
      <c r="S1994" s="774"/>
    </row>
    <row r="1995" spans="14:19" ht="29.1" customHeight="1">
      <c r="N1995" s="774"/>
      <c r="O1995" s="774"/>
      <c r="P1995" s="774"/>
      <c r="Q1995" s="774"/>
      <c r="R1995" s="774"/>
      <c r="S1995" s="774"/>
    </row>
    <row r="1996" spans="14:19" ht="29.1" customHeight="1">
      <c r="N1996" s="774"/>
      <c r="O1996" s="774"/>
      <c r="P1996" s="774"/>
      <c r="Q1996" s="774"/>
      <c r="R1996" s="774"/>
      <c r="S1996" s="774"/>
    </row>
    <row r="1997" spans="14:19" ht="29.1" customHeight="1">
      <c r="N1997" s="774"/>
      <c r="O1997" s="774"/>
      <c r="P1997" s="774"/>
      <c r="Q1997" s="774"/>
      <c r="R1997" s="774"/>
      <c r="S1997" s="774"/>
    </row>
    <row r="1998" spans="14:19" ht="29.1" customHeight="1">
      <c r="N1998" s="774"/>
      <c r="O1998" s="774"/>
      <c r="P1998" s="774"/>
      <c r="Q1998" s="774"/>
      <c r="R1998" s="774"/>
      <c r="S1998" s="774"/>
    </row>
    <row r="1999" spans="14:19" ht="29.1" customHeight="1">
      <c r="N1999" s="774"/>
      <c r="O1999" s="774"/>
      <c r="P1999" s="774"/>
      <c r="Q1999" s="774"/>
      <c r="R1999" s="774"/>
      <c r="S1999" s="774"/>
    </row>
    <row r="2000" spans="14:19" ht="29.1" customHeight="1">
      <c r="N2000" s="774"/>
      <c r="O2000" s="774"/>
      <c r="P2000" s="774"/>
      <c r="Q2000" s="774"/>
      <c r="R2000" s="774"/>
      <c r="S2000" s="774"/>
    </row>
    <row r="2001" spans="14:19" ht="29.1" customHeight="1">
      <c r="N2001" s="774"/>
      <c r="O2001" s="774"/>
      <c r="P2001" s="774"/>
      <c r="Q2001" s="774"/>
      <c r="R2001" s="774"/>
      <c r="S2001" s="774"/>
    </row>
    <row r="2002" spans="14:19" ht="29.1" customHeight="1">
      <c r="N2002" s="774"/>
      <c r="O2002" s="774"/>
      <c r="P2002" s="774"/>
      <c r="Q2002" s="774"/>
      <c r="R2002" s="774"/>
      <c r="S2002" s="774"/>
    </row>
    <row r="2003" spans="14:19" ht="29.1" customHeight="1">
      <c r="N2003" s="774"/>
      <c r="O2003" s="774"/>
      <c r="P2003" s="774"/>
      <c r="Q2003" s="774"/>
      <c r="R2003" s="774"/>
      <c r="S2003" s="774"/>
    </row>
    <row r="2004" spans="14:19" ht="29.1" customHeight="1">
      <c r="N2004" s="774"/>
      <c r="O2004" s="774"/>
      <c r="P2004" s="774"/>
      <c r="Q2004" s="774"/>
      <c r="R2004" s="774"/>
      <c r="S2004" s="774"/>
    </row>
    <row r="2005" spans="14:19" ht="29.1" customHeight="1">
      <c r="N2005" s="774"/>
      <c r="O2005" s="774"/>
      <c r="P2005" s="774"/>
      <c r="Q2005" s="774"/>
      <c r="R2005" s="774"/>
      <c r="S2005" s="774"/>
    </row>
    <row r="2006" spans="14:19" ht="29.1" customHeight="1">
      <c r="N2006" s="774"/>
      <c r="O2006" s="774"/>
      <c r="P2006" s="774"/>
      <c r="Q2006" s="774"/>
      <c r="R2006" s="774"/>
      <c r="S2006" s="774"/>
    </row>
    <row r="2007" spans="14:19" ht="29.1" customHeight="1">
      <c r="N2007" s="774"/>
      <c r="O2007" s="774"/>
      <c r="P2007" s="774"/>
      <c r="Q2007" s="774"/>
      <c r="R2007" s="774"/>
      <c r="S2007" s="774"/>
    </row>
    <row r="2008" spans="14:19" ht="29.1" customHeight="1">
      <c r="N2008" s="774"/>
      <c r="O2008" s="774"/>
      <c r="P2008" s="774"/>
      <c r="Q2008" s="774"/>
      <c r="R2008" s="774"/>
      <c r="S2008" s="774"/>
    </row>
    <row r="2009" spans="14:19" ht="29.1" customHeight="1">
      <c r="N2009" s="774"/>
      <c r="O2009" s="774"/>
      <c r="P2009" s="774"/>
      <c r="Q2009" s="774"/>
      <c r="R2009" s="774"/>
      <c r="S2009" s="774"/>
    </row>
    <row r="2010" spans="14:19" ht="29.1" customHeight="1">
      <c r="N2010" s="774"/>
      <c r="O2010" s="774"/>
      <c r="P2010" s="774"/>
      <c r="Q2010" s="774"/>
      <c r="R2010" s="774"/>
      <c r="S2010" s="774"/>
    </row>
    <row r="2011" spans="14:19" ht="29.1" customHeight="1">
      <c r="N2011" s="774"/>
      <c r="O2011" s="774"/>
      <c r="P2011" s="774"/>
      <c r="Q2011" s="774"/>
      <c r="R2011" s="774"/>
      <c r="S2011" s="774"/>
    </row>
    <row r="2012" spans="14:19" ht="29.1" customHeight="1">
      <c r="N2012" s="774"/>
      <c r="O2012" s="774"/>
      <c r="P2012" s="774"/>
      <c r="Q2012" s="774"/>
      <c r="R2012" s="774"/>
      <c r="S2012" s="774"/>
    </row>
    <row r="2013" spans="14:19" ht="29.1" customHeight="1">
      <c r="N2013" s="774"/>
      <c r="O2013" s="774"/>
      <c r="P2013" s="774"/>
      <c r="Q2013" s="774"/>
      <c r="R2013" s="774"/>
      <c r="S2013" s="774"/>
    </row>
    <row r="2014" spans="14:19" ht="29.1" customHeight="1">
      <c r="N2014" s="774"/>
      <c r="O2014" s="774"/>
      <c r="P2014" s="774"/>
      <c r="Q2014" s="774"/>
      <c r="R2014" s="774"/>
      <c r="S2014" s="774"/>
    </row>
    <row r="2015" spans="14:19" ht="29.1" customHeight="1">
      <c r="N2015" s="774"/>
      <c r="O2015" s="774"/>
      <c r="P2015" s="774"/>
      <c r="Q2015" s="774"/>
      <c r="R2015" s="774"/>
      <c r="S2015" s="774"/>
    </row>
    <row r="2016" spans="14:19" ht="29.1" customHeight="1">
      <c r="N2016" s="774"/>
      <c r="O2016" s="774"/>
      <c r="P2016" s="774"/>
      <c r="Q2016" s="774"/>
      <c r="R2016" s="774"/>
      <c r="S2016" s="774"/>
    </row>
    <row r="2017" spans="14:19" ht="29.1" customHeight="1">
      <c r="N2017" s="774"/>
      <c r="O2017" s="774"/>
      <c r="P2017" s="774"/>
      <c r="Q2017" s="774"/>
      <c r="R2017" s="774"/>
      <c r="S2017" s="774"/>
    </row>
    <row r="2018" spans="14:19" ht="29.1" customHeight="1">
      <c r="N2018" s="774"/>
      <c r="O2018" s="774"/>
      <c r="P2018" s="774"/>
      <c r="Q2018" s="774"/>
      <c r="R2018" s="774"/>
      <c r="S2018" s="774"/>
    </row>
    <row r="2019" spans="14:19" ht="29.1" customHeight="1">
      <c r="N2019" s="774"/>
      <c r="O2019" s="774"/>
      <c r="P2019" s="774"/>
      <c r="Q2019" s="774"/>
      <c r="R2019" s="774"/>
      <c r="S2019" s="774"/>
    </row>
    <row r="2020" spans="14:19" ht="29.1" customHeight="1">
      <c r="N2020" s="774"/>
      <c r="O2020" s="774"/>
      <c r="P2020" s="774"/>
      <c r="Q2020" s="774"/>
      <c r="R2020" s="774"/>
      <c r="S2020" s="774"/>
    </row>
    <row r="2021" spans="14:19" ht="29.1" customHeight="1">
      <c r="N2021" s="774"/>
      <c r="O2021" s="774"/>
      <c r="P2021" s="774"/>
      <c r="Q2021" s="774"/>
      <c r="R2021" s="774"/>
      <c r="S2021" s="774"/>
    </row>
    <row r="2022" spans="14:19" ht="29.1" customHeight="1">
      <c r="N2022" s="774"/>
      <c r="O2022" s="774"/>
      <c r="P2022" s="774"/>
      <c r="Q2022" s="774"/>
      <c r="R2022" s="774"/>
      <c r="S2022" s="774"/>
    </row>
    <row r="2023" spans="14:19" ht="29.1" customHeight="1">
      <c r="N2023" s="774"/>
      <c r="O2023" s="774"/>
      <c r="P2023" s="774"/>
      <c r="Q2023" s="774"/>
      <c r="R2023" s="774"/>
      <c r="S2023" s="774"/>
    </row>
    <row r="2024" spans="14:19" ht="29.1" customHeight="1">
      <c r="N2024" s="774"/>
      <c r="O2024" s="774"/>
      <c r="P2024" s="774"/>
      <c r="Q2024" s="774"/>
      <c r="R2024" s="774"/>
      <c r="S2024" s="774"/>
    </row>
    <row r="2025" spans="14:19" ht="29.1" customHeight="1">
      <c r="N2025" s="774"/>
      <c r="O2025" s="774"/>
      <c r="P2025" s="774"/>
      <c r="Q2025" s="774"/>
      <c r="R2025" s="774"/>
      <c r="S2025" s="774"/>
    </row>
    <row r="2026" spans="14:19" ht="29.1" customHeight="1">
      <c r="N2026" s="774"/>
      <c r="O2026" s="774"/>
      <c r="P2026" s="774"/>
      <c r="Q2026" s="774"/>
      <c r="R2026" s="774"/>
      <c r="S2026" s="774"/>
    </row>
    <row r="2027" spans="14:19" ht="29.1" customHeight="1">
      <c r="N2027" s="774"/>
      <c r="O2027" s="774"/>
      <c r="P2027" s="774"/>
      <c r="Q2027" s="774"/>
      <c r="R2027" s="774"/>
      <c r="S2027" s="774"/>
    </row>
    <row r="2028" spans="14:19" ht="29.1" customHeight="1">
      <c r="N2028" s="774"/>
      <c r="O2028" s="774"/>
      <c r="P2028" s="774"/>
      <c r="Q2028" s="774"/>
      <c r="R2028" s="774"/>
      <c r="S2028" s="774"/>
    </row>
    <row r="2029" spans="14:19" ht="29.1" customHeight="1">
      <c r="N2029" s="774"/>
      <c r="O2029" s="774"/>
      <c r="P2029" s="774"/>
      <c r="Q2029" s="774"/>
      <c r="R2029" s="774"/>
      <c r="S2029" s="774"/>
    </row>
    <row r="2030" spans="14:19" ht="29.1" customHeight="1">
      <c r="N2030" s="774"/>
      <c r="O2030" s="774"/>
      <c r="P2030" s="774"/>
      <c r="Q2030" s="774"/>
      <c r="R2030" s="774"/>
      <c r="S2030" s="774"/>
    </row>
    <row r="2031" spans="14:19" ht="29.1" customHeight="1">
      <c r="N2031" s="774"/>
      <c r="O2031" s="774"/>
      <c r="P2031" s="774"/>
      <c r="Q2031" s="774"/>
      <c r="R2031" s="774"/>
      <c r="S2031" s="774"/>
    </row>
    <row r="2032" spans="14:19" ht="29.1" customHeight="1">
      <c r="N2032" s="774"/>
      <c r="O2032" s="774"/>
      <c r="P2032" s="774"/>
      <c r="Q2032" s="774"/>
      <c r="R2032" s="774"/>
      <c r="S2032" s="774"/>
    </row>
    <row r="2033" spans="14:19" ht="29.1" customHeight="1">
      <c r="N2033" s="774"/>
      <c r="O2033" s="774"/>
      <c r="P2033" s="774"/>
      <c r="Q2033" s="774"/>
      <c r="R2033" s="774"/>
      <c r="S2033" s="774"/>
    </row>
    <row r="2034" spans="14:19" ht="29.1" customHeight="1">
      <c r="N2034" s="774"/>
      <c r="O2034" s="774"/>
      <c r="P2034" s="774"/>
      <c r="Q2034" s="774"/>
      <c r="R2034" s="774"/>
      <c r="S2034" s="774"/>
    </row>
    <row r="2035" spans="14:19" ht="29.1" customHeight="1">
      <c r="N2035" s="774"/>
      <c r="O2035" s="774"/>
      <c r="P2035" s="774"/>
      <c r="Q2035" s="774"/>
      <c r="R2035" s="774"/>
      <c r="S2035" s="774"/>
    </row>
    <row r="2036" spans="14:19" ht="29.1" customHeight="1">
      <c r="N2036" s="774"/>
      <c r="O2036" s="774"/>
      <c r="P2036" s="774"/>
      <c r="Q2036" s="774"/>
      <c r="R2036" s="774"/>
      <c r="S2036" s="774"/>
    </row>
    <row r="2037" spans="14:19" ht="29.1" customHeight="1">
      <c r="N2037" s="774"/>
      <c r="O2037" s="774"/>
      <c r="P2037" s="774"/>
      <c r="Q2037" s="774"/>
      <c r="R2037" s="774"/>
      <c r="S2037" s="774"/>
    </row>
    <row r="2038" spans="14:19" ht="29.1" customHeight="1">
      <c r="N2038" s="774"/>
      <c r="O2038" s="774"/>
      <c r="P2038" s="774"/>
      <c r="Q2038" s="774"/>
      <c r="R2038" s="774"/>
      <c r="S2038" s="774"/>
    </row>
    <row r="2039" spans="14:19" ht="29.1" customHeight="1">
      <c r="N2039" s="774"/>
      <c r="O2039" s="774"/>
      <c r="P2039" s="774"/>
      <c r="Q2039" s="774"/>
      <c r="R2039" s="774"/>
      <c r="S2039" s="774"/>
    </row>
    <row r="2040" spans="14:19" ht="29.1" customHeight="1">
      <c r="N2040" s="774"/>
      <c r="O2040" s="774"/>
      <c r="P2040" s="774"/>
      <c r="Q2040" s="774"/>
      <c r="R2040" s="774"/>
      <c r="S2040" s="774"/>
    </row>
    <row r="2041" spans="14:19" ht="29.1" customHeight="1">
      <c r="N2041" s="774"/>
      <c r="O2041" s="774"/>
      <c r="P2041" s="774"/>
      <c r="Q2041" s="774"/>
      <c r="R2041" s="774"/>
      <c r="S2041" s="774"/>
    </row>
    <row r="2042" spans="14:19" ht="29.1" customHeight="1">
      <c r="N2042" s="774"/>
      <c r="O2042" s="774"/>
      <c r="P2042" s="774"/>
      <c r="Q2042" s="774"/>
      <c r="R2042" s="774"/>
      <c r="S2042" s="774"/>
    </row>
    <row r="2043" spans="14:19" ht="29.1" customHeight="1">
      <c r="N2043" s="774"/>
      <c r="O2043" s="774"/>
      <c r="P2043" s="774"/>
      <c r="Q2043" s="774"/>
      <c r="R2043" s="774"/>
      <c r="S2043" s="774"/>
    </row>
    <row r="2044" spans="14:19" ht="29.1" customHeight="1">
      <c r="N2044" s="774"/>
      <c r="O2044" s="774"/>
      <c r="P2044" s="774"/>
      <c r="Q2044" s="774"/>
      <c r="R2044" s="774"/>
      <c r="S2044" s="774"/>
    </row>
    <row r="2045" spans="14:19" ht="29.1" customHeight="1">
      <c r="N2045" s="774"/>
      <c r="O2045" s="774"/>
      <c r="P2045" s="774"/>
      <c r="Q2045" s="774"/>
      <c r="R2045" s="774"/>
      <c r="S2045" s="774"/>
    </row>
    <row r="2046" spans="14:19" ht="29.1" customHeight="1">
      <c r="N2046" s="774"/>
      <c r="O2046" s="774"/>
      <c r="P2046" s="774"/>
      <c r="Q2046" s="774"/>
      <c r="R2046" s="774"/>
      <c r="S2046" s="774"/>
    </row>
    <row r="2047" spans="14:19" ht="29.1" customHeight="1">
      <c r="N2047" s="774"/>
      <c r="O2047" s="774"/>
      <c r="P2047" s="774"/>
      <c r="Q2047" s="774"/>
      <c r="R2047" s="774"/>
      <c r="S2047" s="774"/>
    </row>
    <row r="2048" spans="14:19" ht="29.1" customHeight="1">
      <c r="N2048" s="774"/>
      <c r="O2048" s="774"/>
      <c r="P2048" s="774"/>
      <c r="Q2048" s="774"/>
      <c r="R2048" s="774"/>
      <c r="S2048" s="774"/>
    </row>
    <row r="2049" spans="14:19" ht="29.1" customHeight="1">
      <c r="N2049" s="774"/>
      <c r="O2049" s="774"/>
      <c r="P2049" s="774"/>
      <c r="Q2049" s="774"/>
      <c r="R2049" s="774"/>
      <c r="S2049" s="774"/>
    </row>
    <row r="2050" spans="14:19" ht="29.1" customHeight="1">
      <c r="N2050" s="774"/>
      <c r="O2050" s="774"/>
      <c r="P2050" s="774"/>
      <c r="Q2050" s="774"/>
      <c r="R2050" s="774"/>
      <c r="S2050" s="774"/>
    </row>
    <row r="2051" spans="14:19" ht="29.1" customHeight="1">
      <c r="N2051" s="774"/>
      <c r="O2051" s="774"/>
      <c r="P2051" s="774"/>
      <c r="Q2051" s="774"/>
      <c r="R2051" s="774"/>
      <c r="S2051" s="774"/>
    </row>
    <row r="2052" spans="14:19" ht="29.1" customHeight="1">
      <c r="N2052" s="774"/>
      <c r="O2052" s="774"/>
      <c r="P2052" s="774"/>
      <c r="Q2052" s="774"/>
      <c r="R2052" s="774"/>
      <c r="S2052" s="774"/>
    </row>
    <row r="2053" spans="14:19" ht="29.1" customHeight="1">
      <c r="N2053" s="774"/>
      <c r="O2053" s="774"/>
      <c r="P2053" s="774"/>
      <c r="Q2053" s="774"/>
      <c r="R2053" s="774"/>
      <c r="S2053" s="774"/>
    </row>
    <row r="2054" spans="14:19" ht="29.1" customHeight="1">
      <c r="N2054" s="774"/>
      <c r="O2054" s="774"/>
      <c r="P2054" s="774"/>
      <c r="Q2054" s="774"/>
      <c r="R2054" s="774"/>
      <c r="S2054" s="774"/>
    </row>
    <row r="2055" spans="14:19" ht="29.1" customHeight="1">
      <c r="N2055" s="774"/>
      <c r="O2055" s="774"/>
      <c r="P2055" s="774"/>
      <c r="Q2055" s="774"/>
      <c r="R2055" s="774"/>
      <c r="S2055" s="774"/>
    </row>
    <row r="2056" spans="14:19" ht="29.1" customHeight="1">
      <c r="N2056" s="774"/>
      <c r="O2056" s="774"/>
      <c r="P2056" s="774"/>
      <c r="Q2056" s="774"/>
      <c r="R2056" s="774"/>
      <c r="S2056" s="774"/>
    </row>
    <row r="2057" spans="14:19" ht="29.1" customHeight="1">
      <c r="N2057" s="774"/>
      <c r="O2057" s="774"/>
      <c r="P2057" s="774"/>
      <c r="Q2057" s="774"/>
      <c r="R2057" s="774"/>
      <c r="S2057" s="774"/>
    </row>
    <row r="2058" spans="14:19" ht="29.1" customHeight="1">
      <c r="N2058" s="774"/>
      <c r="O2058" s="774"/>
      <c r="P2058" s="774"/>
      <c r="Q2058" s="774"/>
      <c r="R2058" s="774"/>
      <c r="S2058" s="774"/>
    </row>
    <row r="2059" spans="14:19" ht="29.1" customHeight="1">
      <c r="N2059" s="774"/>
      <c r="O2059" s="774"/>
      <c r="P2059" s="774"/>
      <c r="Q2059" s="774"/>
      <c r="R2059" s="774"/>
      <c r="S2059" s="774"/>
    </row>
    <row r="2060" spans="14:19" ht="29.1" customHeight="1">
      <c r="N2060" s="774"/>
      <c r="O2060" s="774"/>
      <c r="P2060" s="774"/>
      <c r="Q2060" s="774"/>
      <c r="R2060" s="774"/>
      <c r="S2060" s="774"/>
    </row>
    <row r="2061" spans="14:19" ht="29.1" customHeight="1">
      <c r="N2061" s="774"/>
      <c r="O2061" s="774"/>
      <c r="P2061" s="774"/>
      <c r="Q2061" s="774"/>
      <c r="R2061" s="774"/>
      <c r="S2061" s="774"/>
    </row>
    <row r="2062" spans="14:19" ht="29.1" customHeight="1">
      <c r="N2062" s="774"/>
      <c r="O2062" s="774"/>
      <c r="P2062" s="774"/>
      <c r="Q2062" s="774"/>
      <c r="R2062" s="774"/>
      <c r="S2062" s="774"/>
    </row>
    <row r="2063" spans="14:19" ht="29.1" customHeight="1">
      <c r="N2063" s="774"/>
      <c r="O2063" s="774"/>
      <c r="P2063" s="774"/>
      <c r="Q2063" s="774"/>
      <c r="R2063" s="774"/>
      <c r="S2063" s="774"/>
    </row>
    <row r="2064" spans="14:19" ht="29.1" customHeight="1">
      <c r="N2064" s="774"/>
      <c r="O2064" s="774"/>
      <c r="P2064" s="774"/>
      <c r="Q2064" s="774"/>
      <c r="R2064" s="774"/>
      <c r="S2064" s="774"/>
    </row>
    <row r="2065" spans="14:19" ht="29.1" customHeight="1">
      <c r="N2065" s="774"/>
      <c r="O2065" s="774"/>
      <c r="P2065" s="774"/>
      <c r="Q2065" s="774"/>
      <c r="R2065" s="774"/>
      <c r="S2065" s="774"/>
    </row>
    <row r="2066" spans="14:19" ht="29.1" customHeight="1">
      <c r="N2066" s="774"/>
      <c r="O2066" s="774"/>
      <c r="P2066" s="774"/>
      <c r="Q2066" s="774"/>
      <c r="R2066" s="774"/>
      <c r="S2066" s="774"/>
    </row>
    <row r="2067" spans="14:19" ht="29.1" customHeight="1">
      <c r="N2067" s="774"/>
      <c r="O2067" s="774"/>
      <c r="P2067" s="774"/>
      <c r="Q2067" s="774"/>
      <c r="R2067" s="774"/>
      <c r="S2067" s="774"/>
    </row>
    <row r="2068" spans="14:19" ht="29.1" customHeight="1">
      <c r="N2068" s="774"/>
      <c r="O2068" s="774"/>
      <c r="P2068" s="774"/>
      <c r="Q2068" s="774"/>
      <c r="R2068" s="774"/>
      <c r="S2068" s="774"/>
    </row>
    <row r="2069" spans="14:19" ht="29.1" customHeight="1">
      <c r="N2069" s="774"/>
      <c r="O2069" s="774"/>
      <c r="P2069" s="774"/>
      <c r="Q2069" s="774"/>
      <c r="R2069" s="774"/>
      <c r="S2069" s="774"/>
    </row>
    <row r="2070" spans="14:19" ht="29.1" customHeight="1">
      <c r="N2070" s="774"/>
      <c r="O2070" s="774"/>
      <c r="P2070" s="774"/>
      <c r="Q2070" s="774"/>
      <c r="R2070" s="774"/>
      <c r="S2070" s="774"/>
    </row>
    <row r="2071" spans="14:19" ht="29.1" customHeight="1">
      <c r="N2071" s="774"/>
      <c r="O2071" s="774"/>
      <c r="P2071" s="774"/>
      <c r="Q2071" s="774"/>
      <c r="R2071" s="774"/>
      <c r="S2071" s="774"/>
    </row>
    <row r="2072" spans="14:19" ht="29.1" customHeight="1">
      <c r="N2072" s="774"/>
      <c r="O2072" s="774"/>
      <c r="P2072" s="774"/>
      <c r="Q2072" s="774"/>
      <c r="R2072" s="774"/>
      <c r="S2072" s="774"/>
    </row>
    <row r="2073" spans="14:19" ht="29.1" customHeight="1">
      <c r="N2073" s="774"/>
      <c r="O2073" s="774"/>
      <c r="P2073" s="774"/>
      <c r="Q2073" s="774"/>
      <c r="R2073" s="774"/>
      <c r="S2073" s="774"/>
    </row>
    <row r="2074" spans="14:19" ht="29.1" customHeight="1">
      <c r="N2074" s="774"/>
      <c r="O2074" s="774"/>
      <c r="P2074" s="774"/>
      <c r="Q2074" s="774"/>
      <c r="R2074" s="774"/>
      <c r="S2074" s="774"/>
    </row>
    <row r="2075" spans="14:19" ht="29.1" customHeight="1">
      <c r="N2075" s="774"/>
      <c r="O2075" s="774"/>
      <c r="P2075" s="774"/>
      <c r="Q2075" s="774"/>
      <c r="R2075" s="774"/>
      <c r="S2075" s="774"/>
    </row>
    <row r="2076" spans="14:19" ht="29.1" customHeight="1">
      <c r="N2076" s="774"/>
      <c r="O2076" s="774"/>
      <c r="P2076" s="774"/>
      <c r="Q2076" s="774"/>
      <c r="R2076" s="774"/>
      <c r="S2076" s="774"/>
    </row>
    <row r="2077" spans="14:19" ht="29.1" customHeight="1">
      <c r="N2077" s="774"/>
      <c r="O2077" s="774"/>
      <c r="P2077" s="774"/>
      <c r="Q2077" s="774"/>
      <c r="R2077" s="774"/>
      <c r="S2077" s="774"/>
    </row>
    <row r="2078" spans="14:19" ht="29.1" customHeight="1">
      <c r="N2078" s="774"/>
      <c r="O2078" s="774"/>
      <c r="P2078" s="774"/>
      <c r="Q2078" s="774"/>
      <c r="R2078" s="774"/>
      <c r="S2078" s="774"/>
    </row>
    <row r="2079" spans="14:19" ht="29.1" customHeight="1">
      <c r="N2079" s="774"/>
      <c r="O2079" s="774"/>
      <c r="P2079" s="774"/>
      <c r="Q2079" s="774"/>
      <c r="R2079" s="774"/>
      <c r="S2079" s="774"/>
    </row>
    <row r="2080" spans="14:19" ht="29.1" customHeight="1">
      <c r="N2080" s="774"/>
      <c r="O2080" s="774"/>
      <c r="P2080" s="774"/>
      <c r="Q2080" s="774"/>
      <c r="R2080" s="774"/>
      <c r="S2080" s="774"/>
    </row>
    <row r="2081" spans="14:19" ht="29.1" customHeight="1">
      <c r="N2081" s="774"/>
      <c r="O2081" s="774"/>
      <c r="P2081" s="774"/>
      <c r="Q2081" s="774"/>
      <c r="R2081" s="774"/>
      <c r="S2081" s="774"/>
    </row>
    <row r="2082" spans="14:19" ht="29.1" customHeight="1">
      <c r="N2082" s="774"/>
      <c r="O2082" s="774"/>
      <c r="P2082" s="774"/>
      <c r="Q2082" s="774"/>
      <c r="R2082" s="774"/>
      <c r="S2082" s="774"/>
    </row>
    <row r="2083" spans="14:19" ht="29.1" customHeight="1">
      <c r="N2083" s="774"/>
      <c r="O2083" s="774"/>
      <c r="P2083" s="774"/>
      <c r="Q2083" s="774"/>
      <c r="R2083" s="774"/>
      <c r="S2083" s="774"/>
    </row>
    <row r="2084" spans="14:19" ht="29.1" customHeight="1">
      <c r="N2084" s="774"/>
      <c r="O2084" s="774"/>
      <c r="P2084" s="774"/>
      <c r="Q2084" s="774"/>
      <c r="R2084" s="774"/>
      <c r="S2084" s="774"/>
    </row>
    <row r="2085" spans="14:19" ht="29.1" customHeight="1">
      <c r="N2085" s="774"/>
      <c r="O2085" s="774"/>
      <c r="P2085" s="774"/>
      <c r="Q2085" s="774"/>
      <c r="R2085" s="774"/>
      <c r="S2085" s="774"/>
    </row>
    <row r="2086" spans="14:19" ht="29.1" customHeight="1">
      <c r="N2086" s="774"/>
      <c r="O2086" s="774"/>
      <c r="P2086" s="774"/>
      <c r="Q2086" s="774"/>
      <c r="R2086" s="774"/>
      <c r="S2086" s="774"/>
    </row>
    <row r="2087" spans="14:19" ht="29.1" customHeight="1">
      <c r="N2087" s="774"/>
      <c r="O2087" s="774"/>
      <c r="P2087" s="774"/>
      <c r="Q2087" s="774"/>
      <c r="R2087" s="774"/>
      <c r="S2087" s="774"/>
    </row>
    <row r="2088" spans="14:19" ht="29.1" customHeight="1">
      <c r="N2088" s="774"/>
      <c r="O2088" s="774"/>
      <c r="P2088" s="774"/>
      <c r="Q2088" s="774"/>
      <c r="R2088" s="774"/>
      <c r="S2088" s="774"/>
    </row>
    <row r="2089" spans="14:19" ht="29.1" customHeight="1">
      <c r="N2089" s="774"/>
      <c r="O2089" s="774"/>
      <c r="P2089" s="774"/>
      <c r="Q2089" s="774"/>
      <c r="R2089" s="774"/>
      <c r="S2089" s="774"/>
    </row>
    <row r="2090" spans="14:19" ht="29.1" customHeight="1">
      <c r="N2090" s="774"/>
      <c r="O2090" s="774"/>
      <c r="P2090" s="774"/>
      <c r="Q2090" s="774"/>
      <c r="R2090" s="774"/>
      <c r="S2090" s="774"/>
    </row>
    <row r="2091" spans="14:19" ht="29.1" customHeight="1">
      <c r="N2091" s="774"/>
      <c r="O2091" s="774"/>
      <c r="P2091" s="774"/>
      <c r="Q2091" s="774"/>
      <c r="R2091" s="774"/>
      <c r="S2091" s="774"/>
    </row>
    <row r="2092" spans="14:19" ht="29.1" customHeight="1">
      <c r="N2092" s="774"/>
      <c r="O2092" s="774"/>
      <c r="P2092" s="774"/>
      <c r="Q2092" s="774"/>
      <c r="R2092" s="774"/>
      <c r="S2092" s="774"/>
    </row>
    <row r="2093" spans="14:19" ht="29.1" customHeight="1">
      <c r="N2093" s="774"/>
      <c r="O2093" s="774"/>
      <c r="P2093" s="774"/>
      <c r="Q2093" s="774"/>
      <c r="R2093" s="774"/>
      <c r="S2093" s="774"/>
    </row>
    <row r="2094" spans="14:19" ht="29.1" customHeight="1">
      <c r="N2094" s="774"/>
      <c r="O2094" s="774"/>
      <c r="P2094" s="774"/>
      <c r="Q2094" s="774"/>
      <c r="R2094" s="774"/>
      <c r="S2094" s="774"/>
    </row>
    <row r="2095" spans="14:19" ht="29.1" customHeight="1">
      <c r="N2095" s="774"/>
      <c r="O2095" s="774"/>
      <c r="P2095" s="774"/>
      <c r="Q2095" s="774"/>
      <c r="R2095" s="774"/>
      <c r="S2095" s="774"/>
    </row>
    <row r="2096" spans="14:19" ht="29.1" customHeight="1">
      <c r="N2096" s="774"/>
      <c r="O2096" s="774"/>
      <c r="P2096" s="774"/>
      <c r="Q2096" s="774"/>
      <c r="R2096" s="774"/>
      <c r="S2096" s="774"/>
    </row>
    <row r="2097" spans="14:19" ht="29.1" customHeight="1">
      <c r="N2097" s="774"/>
      <c r="O2097" s="774"/>
      <c r="P2097" s="774"/>
      <c r="Q2097" s="774"/>
      <c r="R2097" s="774"/>
      <c r="S2097" s="774"/>
    </row>
    <row r="2098" spans="14:19" ht="29.1" customHeight="1">
      <c r="N2098" s="774"/>
      <c r="O2098" s="774"/>
      <c r="P2098" s="774"/>
      <c r="Q2098" s="774"/>
      <c r="R2098" s="774"/>
      <c r="S2098" s="774"/>
    </row>
    <row r="2099" spans="14:19" ht="29.1" customHeight="1">
      <c r="N2099" s="774"/>
      <c r="O2099" s="774"/>
      <c r="P2099" s="774"/>
      <c r="Q2099" s="774"/>
      <c r="R2099" s="774"/>
      <c r="S2099" s="774"/>
    </row>
    <row r="2100" spans="14:19" ht="29.1" customHeight="1">
      <c r="N2100" s="774"/>
      <c r="O2100" s="774"/>
      <c r="P2100" s="774"/>
      <c r="Q2100" s="774"/>
      <c r="R2100" s="774"/>
      <c r="S2100" s="774"/>
    </row>
    <row r="2101" spans="14:19" ht="29.1" customHeight="1">
      <c r="N2101" s="774"/>
      <c r="O2101" s="774"/>
      <c r="P2101" s="774"/>
      <c r="Q2101" s="774"/>
      <c r="R2101" s="774"/>
      <c r="S2101" s="774"/>
    </row>
    <row r="2102" spans="14:19" ht="29.1" customHeight="1">
      <c r="N2102" s="774"/>
      <c r="O2102" s="774"/>
      <c r="P2102" s="774"/>
      <c r="Q2102" s="774"/>
      <c r="R2102" s="774"/>
      <c r="S2102" s="774"/>
    </row>
    <row r="2103" spans="14:19" ht="29.1" customHeight="1">
      <c r="N2103" s="774"/>
      <c r="O2103" s="774"/>
      <c r="P2103" s="774"/>
      <c r="Q2103" s="774"/>
      <c r="R2103" s="774"/>
      <c r="S2103" s="774"/>
    </row>
    <row r="2104" spans="14:19" ht="29.1" customHeight="1">
      <c r="N2104" s="774"/>
      <c r="O2104" s="774"/>
      <c r="P2104" s="774"/>
      <c r="Q2104" s="774"/>
      <c r="R2104" s="774"/>
      <c r="S2104" s="774"/>
    </row>
    <row r="2105" spans="14:19" ht="29.1" customHeight="1">
      <c r="N2105" s="774"/>
      <c r="O2105" s="774"/>
      <c r="P2105" s="774"/>
      <c r="Q2105" s="774"/>
      <c r="R2105" s="774"/>
      <c r="S2105" s="774"/>
    </row>
    <row r="2106" spans="14:19" ht="29.1" customHeight="1">
      <c r="N2106" s="774"/>
      <c r="O2106" s="774"/>
      <c r="P2106" s="774"/>
      <c r="Q2106" s="774"/>
      <c r="R2106" s="774"/>
      <c r="S2106" s="774"/>
    </row>
    <row r="2107" spans="14:19" ht="29.1" customHeight="1">
      <c r="N2107" s="774"/>
      <c r="O2107" s="774"/>
      <c r="P2107" s="774"/>
      <c r="Q2107" s="774"/>
      <c r="R2107" s="774"/>
      <c r="S2107" s="774"/>
    </row>
    <row r="2108" spans="14:19" ht="29.1" customHeight="1">
      <c r="N2108" s="774"/>
      <c r="O2108" s="774"/>
      <c r="P2108" s="774"/>
      <c r="Q2108" s="774"/>
      <c r="R2108" s="774"/>
      <c r="S2108" s="774"/>
    </row>
    <row r="2109" spans="14:19" ht="29.1" customHeight="1">
      <c r="N2109" s="774"/>
      <c r="O2109" s="774"/>
      <c r="P2109" s="774"/>
      <c r="Q2109" s="774"/>
      <c r="R2109" s="774"/>
      <c r="S2109" s="774"/>
    </row>
    <row r="2110" spans="14:19" ht="29.1" customHeight="1">
      <c r="N2110" s="774"/>
      <c r="O2110" s="774"/>
      <c r="P2110" s="774"/>
      <c r="Q2110" s="774"/>
      <c r="R2110" s="774"/>
      <c r="S2110" s="774"/>
    </row>
    <row r="2111" spans="14:19" ht="29.1" customHeight="1">
      <c r="N2111" s="774"/>
      <c r="O2111" s="774"/>
      <c r="P2111" s="774"/>
      <c r="Q2111" s="774"/>
      <c r="R2111" s="774"/>
      <c r="S2111" s="774"/>
    </row>
    <row r="2112" spans="14:19" ht="29.1" customHeight="1">
      <c r="N2112" s="774"/>
      <c r="O2112" s="774"/>
      <c r="P2112" s="774"/>
      <c r="Q2112" s="774"/>
      <c r="R2112" s="774"/>
      <c r="S2112" s="774"/>
    </row>
    <row r="2113" spans="14:19" ht="29.1" customHeight="1">
      <c r="N2113" s="774"/>
      <c r="O2113" s="774"/>
      <c r="P2113" s="774"/>
      <c r="Q2113" s="774"/>
      <c r="R2113" s="774"/>
      <c r="S2113" s="774"/>
    </row>
    <row r="2114" spans="14:19" ht="29.1" customHeight="1">
      <c r="N2114" s="774"/>
      <c r="O2114" s="774"/>
      <c r="P2114" s="774"/>
      <c r="Q2114" s="774"/>
      <c r="R2114" s="774"/>
      <c r="S2114" s="774"/>
    </row>
    <row r="2115" spans="14:19" ht="29.1" customHeight="1">
      <c r="N2115" s="774"/>
      <c r="O2115" s="774"/>
      <c r="P2115" s="774"/>
      <c r="Q2115" s="774"/>
      <c r="R2115" s="774"/>
      <c r="S2115" s="774"/>
    </row>
    <row r="2116" spans="14:19" ht="29.1" customHeight="1">
      <c r="N2116" s="774"/>
      <c r="O2116" s="774"/>
      <c r="P2116" s="774"/>
      <c r="Q2116" s="774"/>
      <c r="R2116" s="774"/>
      <c r="S2116" s="774"/>
    </row>
    <row r="2117" spans="14:19" ht="29.1" customHeight="1">
      <c r="N2117" s="774"/>
      <c r="O2117" s="774"/>
      <c r="P2117" s="774"/>
      <c r="Q2117" s="774"/>
      <c r="R2117" s="774"/>
      <c r="S2117" s="774"/>
    </row>
    <row r="2118" spans="14:19" ht="29.1" customHeight="1">
      <c r="N2118" s="774"/>
      <c r="O2118" s="774"/>
      <c r="P2118" s="774"/>
      <c r="Q2118" s="774"/>
      <c r="R2118" s="774"/>
      <c r="S2118" s="774"/>
    </row>
    <row r="2119" spans="14:19" ht="29.1" customHeight="1">
      <c r="N2119" s="774"/>
      <c r="O2119" s="774"/>
      <c r="P2119" s="774"/>
      <c r="Q2119" s="774"/>
      <c r="R2119" s="774"/>
      <c r="S2119" s="774"/>
    </row>
    <row r="2120" spans="14:19" ht="29.1" customHeight="1">
      <c r="N2120" s="774"/>
      <c r="O2120" s="774"/>
      <c r="P2120" s="774"/>
      <c r="Q2120" s="774"/>
      <c r="R2120" s="774"/>
      <c r="S2120" s="774"/>
    </row>
    <row r="2121" spans="14:19" ht="29.1" customHeight="1">
      <c r="N2121" s="774"/>
      <c r="O2121" s="774"/>
      <c r="P2121" s="774"/>
      <c r="Q2121" s="774"/>
      <c r="R2121" s="774"/>
      <c r="S2121" s="774"/>
    </row>
    <row r="2122" spans="14:19" ht="29.1" customHeight="1">
      <c r="N2122" s="774"/>
      <c r="O2122" s="774"/>
      <c r="P2122" s="774"/>
      <c r="Q2122" s="774"/>
      <c r="R2122" s="774"/>
      <c r="S2122" s="774"/>
    </row>
    <row r="2123" spans="14:19" ht="29.1" customHeight="1">
      <c r="N2123" s="774"/>
      <c r="O2123" s="774"/>
      <c r="P2123" s="774"/>
      <c r="Q2123" s="774"/>
      <c r="R2123" s="774"/>
      <c r="S2123" s="774"/>
    </row>
    <row r="2124" spans="14:19" ht="29.1" customHeight="1">
      <c r="N2124" s="774"/>
      <c r="O2124" s="774"/>
      <c r="P2124" s="774"/>
      <c r="Q2124" s="774"/>
      <c r="R2124" s="774"/>
      <c r="S2124" s="774"/>
    </row>
    <row r="2125" spans="14:19" ht="29.1" customHeight="1">
      <c r="N2125" s="774"/>
      <c r="O2125" s="774"/>
      <c r="P2125" s="774"/>
      <c r="Q2125" s="774"/>
      <c r="R2125" s="774"/>
      <c r="S2125" s="774"/>
    </row>
    <row r="2126" spans="14:19" ht="29.1" customHeight="1">
      <c r="N2126" s="774"/>
      <c r="O2126" s="774"/>
      <c r="P2126" s="774"/>
      <c r="Q2126" s="774"/>
      <c r="R2126" s="774"/>
      <c r="S2126" s="774"/>
    </row>
    <row r="2127" spans="14:19" ht="29.1" customHeight="1">
      <c r="N2127" s="774"/>
      <c r="O2127" s="774"/>
      <c r="P2127" s="774"/>
      <c r="Q2127" s="774"/>
      <c r="R2127" s="774"/>
      <c r="S2127" s="774"/>
    </row>
    <row r="2128" spans="14:19" ht="29.1" customHeight="1">
      <c r="N2128" s="774"/>
      <c r="O2128" s="774"/>
      <c r="P2128" s="774"/>
      <c r="Q2128" s="774"/>
      <c r="R2128" s="774"/>
      <c r="S2128" s="774"/>
    </row>
    <row r="2129" spans="14:19" ht="29.1" customHeight="1">
      <c r="N2129" s="774"/>
      <c r="O2129" s="774"/>
      <c r="P2129" s="774"/>
      <c r="Q2129" s="774"/>
      <c r="R2129" s="774"/>
      <c r="S2129" s="774"/>
    </row>
    <row r="2130" spans="14:19" ht="29.1" customHeight="1">
      <c r="N2130" s="774"/>
      <c r="O2130" s="774"/>
      <c r="P2130" s="774"/>
      <c r="Q2130" s="774"/>
      <c r="R2130" s="774"/>
      <c r="S2130" s="774"/>
    </row>
    <row r="2131" spans="14:19" ht="29.1" customHeight="1">
      <c r="N2131" s="774"/>
      <c r="O2131" s="774"/>
      <c r="P2131" s="774"/>
      <c r="Q2131" s="774"/>
      <c r="R2131" s="774"/>
      <c r="S2131" s="774"/>
    </row>
    <row r="2132" spans="14:19" ht="29.1" customHeight="1">
      <c r="N2132" s="774"/>
      <c r="O2132" s="774"/>
      <c r="P2132" s="774"/>
      <c r="Q2132" s="774"/>
      <c r="R2132" s="774"/>
      <c r="S2132" s="774"/>
    </row>
    <row r="2133" spans="14:19" ht="29.1" customHeight="1">
      <c r="N2133" s="774"/>
      <c r="O2133" s="774"/>
      <c r="P2133" s="774"/>
      <c r="Q2133" s="774"/>
      <c r="R2133" s="774"/>
      <c r="S2133" s="774"/>
    </row>
    <row r="2134" spans="14:19" ht="29.1" customHeight="1">
      <c r="N2134" s="774"/>
      <c r="O2134" s="774"/>
      <c r="P2134" s="774"/>
      <c r="Q2134" s="774"/>
      <c r="R2134" s="774"/>
      <c r="S2134" s="774"/>
    </row>
    <row r="2135" spans="14:19" ht="29.1" customHeight="1">
      <c r="N2135" s="774"/>
      <c r="O2135" s="774"/>
      <c r="P2135" s="774"/>
      <c r="Q2135" s="774"/>
      <c r="R2135" s="774"/>
      <c r="S2135" s="774"/>
    </row>
    <row r="2136" spans="14:19" ht="29.1" customHeight="1">
      <c r="N2136" s="774"/>
      <c r="O2136" s="774"/>
      <c r="P2136" s="774"/>
      <c r="Q2136" s="774"/>
      <c r="R2136" s="774"/>
      <c r="S2136" s="774"/>
    </row>
    <row r="2137" spans="14:19" ht="29.1" customHeight="1">
      <c r="N2137" s="774"/>
      <c r="O2137" s="774"/>
      <c r="P2137" s="774"/>
      <c r="Q2137" s="774"/>
      <c r="R2137" s="774"/>
      <c r="S2137" s="774"/>
    </row>
    <row r="2138" spans="14:19" ht="29.1" customHeight="1">
      <c r="N2138" s="774"/>
      <c r="O2138" s="774"/>
      <c r="P2138" s="774"/>
      <c r="Q2138" s="774"/>
      <c r="R2138" s="774"/>
      <c r="S2138" s="774"/>
    </row>
    <row r="2139" spans="14:19" ht="29.1" customHeight="1">
      <c r="N2139" s="774"/>
      <c r="O2139" s="774"/>
      <c r="P2139" s="774"/>
      <c r="Q2139" s="774"/>
      <c r="R2139" s="774"/>
      <c r="S2139" s="774"/>
    </row>
    <row r="2140" spans="14:19" ht="29.1" customHeight="1">
      <c r="N2140" s="774"/>
      <c r="O2140" s="774"/>
      <c r="P2140" s="774"/>
      <c r="Q2140" s="774"/>
      <c r="R2140" s="774"/>
      <c r="S2140" s="774"/>
    </row>
    <row r="2141" spans="14:19" ht="29.1" customHeight="1">
      <c r="N2141" s="774"/>
      <c r="O2141" s="774"/>
      <c r="P2141" s="774"/>
      <c r="Q2141" s="774"/>
      <c r="R2141" s="774"/>
      <c r="S2141" s="774"/>
    </row>
    <row r="2142" spans="14:19" ht="29.1" customHeight="1">
      <c r="N2142" s="774"/>
      <c r="O2142" s="774"/>
      <c r="P2142" s="774"/>
      <c r="Q2142" s="774"/>
      <c r="R2142" s="774"/>
      <c r="S2142" s="774"/>
    </row>
    <row r="2143" spans="14:19" ht="29.1" customHeight="1">
      <c r="N2143" s="774"/>
      <c r="O2143" s="774"/>
      <c r="P2143" s="774"/>
      <c r="Q2143" s="774"/>
      <c r="R2143" s="774"/>
      <c r="S2143" s="774"/>
    </row>
    <row r="2144" spans="14:19" ht="29.1" customHeight="1">
      <c r="N2144" s="774"/>
      <c r="O2144" s="774"/>
      <c r="P2144" s="774"/>
      <c r="Q2144" s="774"/>
      <c r="R2144" s="774"/>
      <c r="S2144" s="774"/>
    </row>
    <row r="2145" spans="14:19" ht="29.1" customHeight="1">
      <c r="N2145" s="774"/>
      <c r="O2145" s="774"/>
      <c r="P2145" s="774"/>
      <c r="Q2145" s="774"/>
      <c r="R2145" s="774"/>
      <c r="S2145" s="774"/>
    </row>
    <row r="2146" spans="14:19" ht="29.1" customHeight="1">
      <c r="N2146" s="774"/>
      <c r="O2146" s="774"/>
      <c r="P2146" s="774"/>
      <c r="Q2146" s="774"/>
      <c r="R2146" s="774"/>
      <c r="S2146" s="774"/>
    </row>
    <row r="2147" spans="14:19" ht="29.1" customHeight="1">
      <c r="N2147" s="774"/>
      <c r="O2147" s="774"/>
      <c r="P2147" s="774"/>
      <c r="Q2147" s="774"/>
      <c r="R2147" s="774"/>
      <c r="S2147" s="774"/>
    </row>
    <row r="2148" spans="14:19" ht="29.1" customHeight="1">
      <c r="N2148" s="774"/>
      <c r="O2148" s="774"/>
      <c r="P2148" s="774"/>
      <c r="Q2148" s="774"/>
      <c r="R2148" s="774"/>
      <c r="S2148" s="774"/>
    </row>
    <row r="2149" spans="14:19" ht="29.1" customHeight="1">
      <c r="N2149" s="774"/>
      <c r="O2149" s="774"/>
      <c r="P2149" s="774"/>
      <c r="Q2149" s="774"/>
      <c r="R2149" s="774"/>
      <c r="S2149" s="774"/>
    </row>
    <row r="2150" spans="14:19" ht="29.1" customHeight="1">
      <c r="N2150" s="774"/>
      <c r="O2150" s="774"/>
      <c r="P2150" s="774"/>
      <c r="Q2150" s="774"/>
      <c r="R2150" s="774"/>
      <c r="S2150" s="774"/>
    </row>
    <row r="2151" spans="14:19" ht="29.1" customHeight="1">
      <c r="N2151" s="774"/>
      <c r="O2151" s="774"/>
      <c r="P2151" s="774"/>
      <c r="Q2151" s="774"/>
      <c r="R2151" s="774"/>
      <c r="S2151" s="774"/>
    </row>
    <row r="2152" spans="14:19" ht="29.1" customHeight="1">
      <c r="N2152" s="774"/>
      <c r="O2152" s="774"/>
      <c r="P2152" s="774"/>
      <c r="Q2152" s="774"/>
      <c r="R2152" s="774"/>
      <c r="S2152" s="774"/>
    </row>
    <row r="2153" spans="14:19" ht="29.1" customHeight="1">
      <c r="N2153" s="774"/>
      <c r="O2153" s="774"/>
      <c r="P2153" s="774"/>
      <c r="Q2153" s="774"/>
      <c r="R2153" s="774"/>
      <c r="S2153" s="774"/>
    </row>
    <row r="2154" spans="14:19" ht="29.1" customHeight="1">
      <c r="N2154" s="774"/>
      <c r="O2154" s="774"/>
      <c r="P2154" s="774"/>
      <c r="Q2154" s="774"/>
      <c r="R2154" s="774"/>
      <c r="S2154" s="774"/>
    </row>
    <row r="2155" spans="14:19" ht="29.1" customHeight="1">
      <c r="N2155" s="774"/>
      <c r="O2155" s="774"/>
      <c r="P2155" s="774"/>
      <c r="Q2155" s="774"/>
      <c r="R2155" s="774"/>
      <c r="S2155" s="774"/>
    </row>
    <row r="2156" spans="14:19" ht="29.1" customHeight="1">
      <c r="N2156" s="774"/>
      <c r="O2156" s="774"/>
      <c r="P2156" s="774"/>
      <c r="Q2156" s="774"/>
      <c r="R2156" s="774"/>
      <c r="S2156" s="774"/>
    </row>
    <row r="2157" spans="14:19" ht="29.1" customHeight="1">
      <c r="N2157" s="774"/>
      <c r="O2157" s="774"/>
      <c r="P2157" s="774"/>
      <c r="Q2157" s="774"/>
      <c r="R2157" s="774"/>
      <c r="S2157" s="774"/>
    </row>
    <row r="2158" spans="14:19" ht="29.1" customHeight="1">
      <c r="N2158" s="774"/>
      <c r="O2158" s="774"/>
      <c r="P2158" s="774"/>
      <c r="Q2158" s="774"/>
      <c r="R2158" s="774"/>
      <c r="S2158" s="774"/>
    </row>
    <row r="2159" spans="14:19" ht="29.1" customHeight="1">
      <c r="N2159" s="774"/>
      <c r="O2159" s="774"/>
      <c r="P2159" s="774"/>
      <c r="Q2159" s="774"/>
      <c r="R2159" s="774"/>
      <c r="S2159" s="774"/>
    </row>
    <row r="2160" spans="14:19" ht="29.1" customHeight="1">
      <c r="N2160" s="774"/>
      <c r="O2160" s="774"/>
      <c r="P2160" s="774"/>
      <c r="Q2160" s="774"/>
      <c r="R2160" s="774"/>
      <c r="S2160" s="774"/>
    </row>
    <row r="2161" spans="14:19" ht="29.1" customHeight="1">
      <c r="N2161" s="774"/>
      <c r="O2161" s="774"/>
      <c r="P2161" s="774"/>
      <c r="Q2161" s="774"/>
      <c r="R2161" s="774"/>
      <c r="S2161" s="774"/>
    </row>
    <row r="2162" spans="14:19" ht="29.1" customHeight="1">
      <c r="N2162" s="774"/>
      <c r="O2162" s="774"/>
      <c r="P2162" s="774"/>
      <c r="Q2162" s="774"/>
      <c r="R2162" s="774"/>
      <c r="S2162" s="774"/>
    </row>
    <row r="2163" spans="14:19" ht="29.1" customHeight="1">
      <c r="N2163" s="774"/>
      <c r="O2163" s="774"/>
      <c r="P2163" s="774"/>
      <c r="Q2163" s="774"/>
      <c r="R2163" s="774"/>
      <c r="S2163" s="774"/>
    </row>
    <row r="2164" spans="14:19" ht="29.1" customHeight="1">
      <c r="N2164" s="774"/>
      <c r="O2164" s="774"/>
      <c r="P2164" s="774"/>
      <c r="Q2164" s="774"/>
      <c r="R2164" s="774"/>
      <c r="S2164" s="774"/>
    </row>
    <row r="2165" spans="14:19" ht="29.1" customHeight="1">
      <c r="N2165" s="774"/>
      <c r="O2165" s="774"/>
      <c r="P2165" s="774"/>
      <c r="Q2165" s="774"/>
      <c r="R2165" s="774"/>
      <c r="S2165" s="774"/>
    </row>
    <row r="2166" spans="14:19" ht="29.1" customHeight="1">
      <c r="N2166" s="774"/>
      <c r="O2166" s="774"/>
      <c r="P2166" s="774"/>
      <c r="Q2166" s="774"/>
      <c r="R2166" s="774"/>
      <c r="S2166" s="774"/>
    </row>
    <row r="2167" spans="14:19" ht="29.1" customHeight="1">
      <c r="N2167" s="774"/>
      <c r="O2167" s="774"/>
      <c r="P2167" s="774"/>
      <c r="Q2167" s="774"/>
      <c r="R2167" s="774"/>
      <c r="S2167" s="774"/>
    </row>
    <row r="2168" spans="14:19" ht="29.1" customHeight="1">
      <c r="N2168" s="774"/>
      <c r="O2168" s="774"/>
      <c r="P2168" s="774"/>
      <c r="Q2168" s="774"/>
      <c r="R2168" s="774"/>
      <c r="S2168" s="774"/>
    </row>
    <row r="2169" spans="14:19" ht="29.1" customHeight="1">
      <c r="N2169" s="774"/>
      <c r="O2169" s="774"/>
      <c r="P2169" s="774"/>
      <c r="Q2169" s="774"/>
      <c r="R2169" s="774"/>
      <c r="S2169" s="774"/>
    </row>
    <row r="2170" spans="14:19" ht="29.1" customHeight="1">
      <c r="N2170" s="774"/>
      <c r="O2170" s="774"/>
      <c r="P2170" s="774"/>
      <c r="Q2170" s="774"/>
      <c r="R2170" s="774"/>
      <c r="S2170" s="774"/>
    </row>
    <row r="2171" spans="14:19" ht="29.1" customHeight="1">
      <c r="N2171" s="774"/>
      <c r="O2171" s="774"/>
      <c r="P2171" s="774"/>
      <c r="Q2171" s="774"/>
      <c r="R2171" s="774"/>
      <c r="S2171" s="774"/>
    </row>
    <row r="2172" spans="14:19" ht="29.1" customHeight="1">
      <c r="N2172" s="774"/>
      <c r="O2172" s="774"/>
      <c r="P2172" s="774"/>
      <c r="Q2172" s="774"/>
      <c r="R2172" s="774"/>
      <c r="S2172" s="774"/>
    </row>
    <row r="2173" spans="14:19" ht="29.1" customHeight="1">
      <c r="N2173" s="774"/>
      <c r="O2173" s="774"/>
      <c r="P2173" s="774"/>
      <c r="Q2173" s="774"/>
      <c r="R2173" s="774"/>
      <c r="S2173" s="774"/>
    </row>
    <row r="2174" spans="14:19" ht="29.1" customHeight="1">
      <c r="N2174" s="774"/>
      <c r="O2174" s="774"/>
      <c r="P2174" s="774"/>
      <c r="Q2174" s="774"/>
      <c r="R2174" s="774"/>
      <c r="S2174" s="774"/>
    </row>
    <row r="2175" spans="14:19" ht="29.1" customHeight="1">
      <c r="N2175" s="774"/>
      <c r="O2175" s="774"/>
      <c r="P2175" s="774"/>
      <c r="Q2175" s="774"/>
      <c r="R2175" s="774"/>
      <c r="S2175" s="774"/>
    </row>
    <row r="2176" spans="14:19" ht="29.1" customHeight="1">
      <c r="N2176" s="774"/>
      <c r="O2176" s="774"/>
      <c r="P2176" s="774"/>
      <c r="Q2176" s="774"/>
      <c r="R2176" s="774"/>
      <c r="S2176" s="774"/>
    </row>
    <row r="2177" spans="14:19" ht="29.1" customHeight="1">
      <c r="N2177" s="774"/>
      <c r="O2177" s="774"/>
      <c r="P2177" s="774"/>
      <c r="Q2177" s="774"/>
      <c r="R2177" s="774"/>
      <c r="S2177" s="774"/>
    </row>
    <row r="2178" spans="14:19" ht="29.1" customHeight="1">
      <c r="N2178" s="774"/>
      <c r="O2178" s="774"/>
      <c r="P2178" s="774"/>
      <c r="Q2178" s="774"/>
      <c r="R2178" s="774"/>
      <c r="S2178" s="774"/>
    </row>
    <row r="2179" spans="14:19" ht="29.1" customHeight="1">
      <c r="N2179" s="774"/>
      <c r="O2179" s="774"/>
      <c r="P2179" s="774"/>
      <c r="Q2179" s="774"/>
      <c r="R2179" s="774"/>
      <c r="S2179" s="774"/>
    </row>
    <row r="2180" spans="14:19" ht="29.1" customHeight="1">
      <c r="N2180" s="774"/>
      <c r="O2180" s="774"/>
      <c r="P2180" s="774"/>
      <c r="Q2180" s="774"/>
      <c r="R2180" s="774"/>
      <c r="S2180" s="774"/>
    </row>
    <row r="2181" spans="14:19" ht="29.1" customHeight="1">
      <c r="N2181" s="774"/>
      <c r="O2181" s="774"/>
      <c r="P2181" s="774"/>
      <c r="Q2181" s="774"/>
      <c r="R2181" s="774"/>
      <c r="S2181" s="774"/>
    </row>
    <row r="2182" spans="14:19" ht="29.1" customHeight="1">
      <c r="N2182" s="774"/>
      <c r="O2182" s="774"/>
      <c r="P2182" s="774"/>
      <c r="Q2182" s="774"/>
      <c r="R2182" s="774"/>
      <c r="S2182" s="774"/>
    </row>
    <row r="2183" spans="14:19" ht="29.1" customHeight="1">
      <c r="N2183" s="774"/>
      <c r="O2183" s="774"/>
      <c r="P2183" s="774"/>
      <c r="Q2183" s="774"/>
      <c r="R2183" s="774"/>
      <c r="S2183" s="774"/>
    </row>
    <row r="2184" spans="14:19" ht="29.1" customHeight="1">
      <c r="N2184" s="774"/>
      <c r="O2184" s="774"/>
      <c r="P2184" s="774"/>
      <c r="Q2184" s="774"/>
      <c r="R2184" s="774"/>
      <c r="S2184" s="774"/>
    </row>
    <row r="2185" spans="14:19" ht="29.1" customHeight="1">
      <c r="N2185" s="774"/>
      <c r="O2185" s="774"/>
      <c r="P2185" s="774"/>
      <c r="Q2185" s="774"/>
      <c r="R2185" s="774"/>
      <c r="S2185" s="774"/>
    </row>
    <row r="2186" spans="14:19" ht="29.1" customHeight="1">
      <c r="N2186" s="774"/>
      <c r="O2186" s="774"/>
      <c r="P2186" s="774"/>
      <c r="Q2186" s="774"/>
      <c r="R2186" s="774"/>
      <c r="S2186" s="774"/>
    </row>
    <row r="2187" spans="14:19" ht="29.1" customHeight="1">
      <c r="N2187" s="774"/>
      <c r="O2187" s="774"/>
      <c r="P2187" s="774"/>
      <c r="Q2187" s="774"/>
      <c r="R2187" s="774"/>
      <c r="S2187" s="774"/>
    </row>
    <row r="2188" spans="14:19" ht="29.1" customHeight="1">
      <c r="N2188" s="774"/>
      <c r="O2188" s="774"/>
      <c r="P2188" s="774"/>
      <c r="Q2188" s="774"/>
      <c r="R2188" s="774"/>
      <c r="S2188" s="774"/>
    </row>
    <row r="2189" spans="14:19" ht="29.1" customHeight="1">
      <c r="N2189" s="774"/>
      <c r="O2189" s="774"/>
      <c r="P2189" s="774"/>
      <c r="Q2189" s="774"/>
      <c r="R2189" s="774"/>
      <c r="S2189" s="774"/>
    </row>
    <row r="2190" spans="14:19" ht="29.1" customHeight="1">
      <c r="N2190" s="774"/>
      <c r="O2190" s="774"/>
      <c r="P2190" s="774"/>
      <c r="Q2190" s="774"/>
      <c r="R2190" s="774"/>
      <c r="S2190" s="774"/>
    </row>
    <row r="2191" spans="14:19" ht="29.1" customHeight="1">
      <c r="N2191" s="774"/>
      <c r="O2191" s="774"/>
      <c r="P2191" s="774"/>
      <c r="Q2191" s="774"/>
      <c r="R2191" s="774"/>
      <c r="S2191" s="774"/>
    </row>
    <row r="2192" spans="14:19" ht="29.1" customHeight="1">
      <c r="N2192" s="774"/>
      <c r="O2192" s="774"/>
      <c r="P2192" s="774"/>
      <c r="Q2192" s="774"/>
      <c r="R2192" s="774"/>
      <c r="S2192" s="774"/>
    </row>
    <row r="2193" spans="14:19" ht="29.1" customHeight="1">
      <c r="N2193" s="774"/>
      <c r="O2193" s="774"/>
      <c r="P2193" s="774"/>
      <c r="Q2193" s="774"/>
      <c r="R2193" s="774"/>
      <c r="S2193" s="774"/>
    </row>
    <row r="2194" spans="14:19" ht="29.1" customHeight="1">
      <c r="N2194" s="774"/>
      <c r="O2194" s="774"/>
      <c r="P2194" s="774"/>
      <c r="Q2194" s="774"/>
      <c r="R2194" s="774"/>
      <c r="S2194" s="774"/>
    </row>
    <row r="2195" spans="14:19" ht="29.1" customHeight="1">
      <c r="N2195" s="774"/>
      <c r="O2195" s="774"/>
      <c r="P2195" s="774"/>
      <c r="Q2195" s="774"/>
      <c r="R2195" s="774"/>
      <c r="S2195" s="774"/>
    </row>
    <row r="2196" spans="14:19" ht="29.1" customHeight="1">
      <c r="N2196" s="774"/>
      <c r="O2196" s="774"/>
      <c r="P2196" s="774"/>
      <c r="Q2196" s="774"/>
      <c r="R2196" s="774"/>
      <c r="S2196" s="774"/>
    </row>
    <row r="2197" spans="14:19" ht="29.1" customHeight="1">
      <c r="N2197" s="774"/>
      <c r="O2197" s="774"/>
      <c r="P2197" s="774"/>
      <c r="Q2197" s="774"/>
      <c r="R2197" s="774"/>
      <c r="S2197" s="774"/>
    </row>
    <row r="2198" spans="14:19" ht="29.1" customHeight="1">
      <c r="N2198" s="774"/>
      <c r="O2198" s="774"/>
      <c r="P2198" s="774"/>
      <c r="Q2198" s="774"/>
      <c r="R2198" s="774"/>
      <c r="S2198" s="774"/>
    </row>
    <row r="2199" spans="14:19" ht="29.1" customHeight="1">
      <c r="N2199" s="774"/>
      <c r="O2199" s="774"/>
      <c r="P2199" s="774"/>
      <c r="Q2199" s="774"/>
      <c r="R2199" s="774"/>
      <c r="S2199" s="774"/>
    </row>
    <row r="2200" spans="14:19" ht="29.1" customHeight="1">
      <c r="N2200" s="774"/>
      <c r="O2200" s="774"/>
      <c r="P2200" s="774"/>
      <c r="Q2200" s="774"/>
      <c r="R2200" s="774"/>
      <c r="S2200" s="774"/>
    </row>
    <row r="2201" spans="14:19" ht="29.1" customHeight="1">
      <c r="N2201" s="774"/>
      <c r="O2201" s="774"/>
      <c r="P2201" s="774"/>
      <c r="Q2201" s="774"/>
      <c r="R2201" s="774"/>
      <c r="S2201" s="774"/>
    </row>
    <row r="2202" spans="14:19" ht="29.1" customHeight="1">
      <c r="N2202" s="774"/>
      <c r="O2202" s="774"/>
      <c r="P2202" s="774"/>
      <c r="Q2202" s="774"/>
      <c r="R2202" s="774"/>
      <c r="S2202" s="774"/>
    </row>
    <row r="2203" spans="14:19" ht="29.1" customHeight="1">
      <c r="N2203" s="774"/>
      <c r="O2203" s="774"/>
      <c r="P2203" s="774"/>
      <c r="Q2203" s="774"/>
      <c r="R2203" s="774"/>
      <c r="S2203" s="774"/>
    </row>
    <row r="2204" spans="14:19" ht="29.1" customHeight="1">
      <c r="N2204" s="774"/>
      <c r="O2204" s="774"/>
      <c r="P2204" s="774"/>
      <c r="Q2204" s="774"/>
      <c r="R2204" s="774"/>
      <c r="S2204" s="774"/>
    </row>
    <row r="2205" spans="14:19" ht="29.1" customHeight="1">
      <c r="N2205" s="774"/>
      <c r="O2205" s="774"/>
      <c r="P2205" s="774"/>
      <c r="Q2205" s="774"/>
      <c r="R2205" s="774"/>
      <c r="S2205" s="774"/>
    </row>
    <row r="2206" spans="14:19" ht="29.1" customHeight="1">
      <c r="N2206" s="774"/>
      <c r="O2206" s="774"/>
      <c r="P2206" s="774"/>
      <c r="Q2206" s="774"/>
      <c r="R2206" s="774"/>
      <c r="S2206" s="774"/>
    </row>
    <row r="2207" spans="14:19" ht="29.1" customHeight="1">
      <c r="N2207" s="774"/>
      <c r="O2207" s="774"/>
      <c r="P2207" s="774"/>
      <c r="Q2207" s="774"/>
      <c r="R2207" s="774"/>
      <c r="S2207" s="774"/>
    </row>
    <row r="2208" spans="14:19" ht="29.1" customHeight="1">
      <c r="N2208" s="774"/>
      <c r="O2208" s="774"/>
      <c r="P2208" s="774"/>
      <c r="Q2208" s="774"/>
      <c r="R2208" s="774"/>
      <c r="S2208" s="774"/>
    </row>
    <row r="2209" spans="14:19" ht="29.1" customHeight="1">
      <c r="N2209" s="774"/>
      <c r="O2209" s="774"/>
      <c r="P2209" s="774"/>
      <c r="Q2209" s="774"/>
      <c r="R2209" s="774"/>
      <c r="S2209" s="774"/>
    </row>
    <row r="2210" spans="14:19" ht="29.1" customHeight="1">
      <c r="N2210" s="774"/>
      <c r="O2210" s="774"/>
      <c r="P2210" s="774"/>
      <c r="Q2210" s="774"/>
      <c r="R2210" s="774"/>
      <c r="S2210" s="774"/>
    </row>
    <row r="2211" spans="14:19" ht="29.1" customHeight="1">
      <c r="N2211" s="774"/>
      <c r="O2211" s="774"/>
      <c r="P2211" s="774"/>
      <c r="Q2211" s="774"/>
      <c r="R2211" s="774"/>
      <c r="S2211" s="774"/>
    </row>
    <row r="2212" spans="14:19" ht="29.1" customHeight="1">
      <c r="N2212" s="774"/>
      <c r="O2212" s="774"/>
      <c r="P2212" s="774"/>
      <c r="Q2212" s="774"/>
      <c r="R2212" s="774"/>
      <c r="S2212" s="774"/>
    </row>
    <row r="2213" spans="14:19" ht="29.1" customHeight="1">
      <c r="N2213" s="774"/>
      <c r="O2213" s="774"/>
      <c r="P2213" s="774"/>
      <c r="Q2213" s="774"/>
      <c r="R2213" s="774"/>
      <c r="S2213" s="774"/>
    </row>
    <row r="2214" spans="14:19" ht="29.1" customHeight="1">
      <c r="N2214" s="774"/>
      <c r="O2214" s="774"/>
      <c r="P2214" s="774"/>
      <c r="Q2214" s="774"/>
      <c r="R2214" s="774"/>
      <c r="S2214" s="774"/>
    </row>
    <row r="2215" spans="14:19" ht="29.1" customHeight="1">
      <c r="N2215" s="774"/>
      <c r="O2215" s="774"/>
      <c r="P2215" s="774"/>
      <c r="Q2215" s="774"/>
      <c r="R2215" s="774"/>
      <c r="S2215" s="774"/>
    </row>
    <row r="2216" spans="14:19" ht="29.1" customHeight="1">
      <c r="N2216" s="774"/>
      <c r="O2216" s="774"/>
      <c r="P2216" s="774"/>
      <c r="Q2216" s="774"/>
      <c r="R2216" s="774"/>
      <c r="S2216" s="774"/>
    </row>
    <row r="2217" spans="14:19" ht="29.1" customHeight="1">
      <c r="N2217" s="774"/>
      <c r="O2217" s="774"/>
      <c r="P2217" s="774"/>
      <c r="Q2217" s="774"/>
      <c r="R2217" s="774"/>
      <c r="S2217" s="774"/>
    </row>
    <row r="2218" spans="14:19" ht="29.1" customHeight="1">
      <c r="N2218" s="774"/>
      <c r="O2218" s="774"/>
      <c r="P2218" s="774"/>
      <c r="Q2218" s="774"/>
      <c r="R2218" s="774"/>
      <c r="S2218" s="774"/>
    </row>
    <row r="2219" spans="14:19" ht="29.1" customHeight="1">
      <c r="N2219" s="774"/>
      <c r="O2219" s="774"/>
      <c r="P2219" s="774"/>
      <c r="Q2219" s="774"/>
      <c r="R2219" s="774"/>
      <c r="S2219" s="774"/>
    </row>
    <row r="2220" spans="14:19" ht="29.1" customHeight="1">
      <c r="N2220" s="774"/>
      <c r="O2220" s="774"/>
      <c r="P2220" s="774"/>
      <c r="Q2220" s="774"/>
      <c r="R2220" s="774"/>
      <c r="S2220" s="774"/>
    </row>
    <row r="2221" spans="14:19" ht="29.1" customHeight="1">
      <c r="N2221" s="774"/>
      <c r="O2221" s="774"/>
      <c r="P2221" s="774"/>
      <c r="Q2221" s="774"/>
      <c r="R2221" s="774"/>
      <c r="S2221" s="774"/>
    </row>
    <row r="2222" spans="14:19" ht="29.1" customHeight="1">
      <c r="N2222" s="774"/>
      <c r="O2222" s="774"/>
      <c r="P2222" s="774"/>
      <c r="Q2222" s="774"/>
      <c r="R2222" s="774"/>
      <c r="S2222" s="774"/>
    </row>
    <row r="2223" spans="14:19" ht="29.1" customHeight="1">
      <c r="N2223" s="774"/>
      <c r="O2223" s="774"/>
      <c r="P2223" s="774"/>
      <c r="Q2223" s="774"/>
      <c r="R2223" s="774"/>
      <c r="S2223" s="774"/>
    </row>
    <row r="2224" spans="14:19" ht="29.1" customHeight="1">
      <c r="N2224" s="774"/>
      <c r="O2224" s="774"/>
      <c r="P2224" s="774"/>
      <c r="Q2224" s="774"/>
      <c r="R2224" s="774"/>
      <c r="S2224" s="774"/>
    </row>
    <row r="2225" spans="14:19" ht="29.1" customHeight="1">
      <c r="N2225" s="774"/>
      <c r="O2225" s="774"/>
      <c r="P2225" s="774"/>
      <c r="Q2225" s="774"/>
      <c r="R2225" s="774"/>
      <c r="S2225" s="774"/>
    </row>
    <row r="2226" spans="14:19" ht="29.1" customHeight="1">
      <c r="N2226" s="774"/>
      <c r="O2226" s="774"/>
      <c r="P2226" s="774"/>
      <c r="Q2226" s="774"/>
      <c r="R2226" s="774"/>
      <c r="S2226" s="774"/>
    </row>
    <row r="2227" spans="14:19" ht="29.1" customHeight="1">
      <c r="N2227" s="774"/>
      <c r="O2227" s="774"/>
      <c r="P2227" s="774"/>
      <c r="Q2227" s="774"/>
      <c r="R2227" s="774"/>
      <c r="S2227" s="774"/>
    </row>
    <row r="2228" spans="14:19" ht="29.1" customHeight="1">
      <c r="N2228" s="774"/>
      <c r="O2228" s="774"/>
      <c r="P2228" s="774"/>
      <c r="Q2228" s="774"/>
      <c r="R2228" s="774"/>
      <c r="S2228" s="774"/>
    </row>
    <row r="2229" spans="14:19" ht="29.1" customHeight="1">
      <c r="N2229" s="774"/>
      <c r="O2229" s="774"/>
      <c r="P2229" s="774"/>
      <c r="Q2229" s="774"/>
      <c r="R2229" s="774"/>
      <c r="S2229" s="774"/>
    </row>
    <row r="2230" spans="14:19" ht="29.1" customHeight="1">
      <c r="N2230" s="774"/>
      <c r="O2230" s="774"/>
      <c r="P2230" s="774"/>
      <c r="Q2230" s="774"/>
      <c r="R2230" s="774"/>
      <c r="S2230" s="774"/>
    </row>
    <row r="2231" spans="14:19" ht="29.1" customHeight="1">
      <c r="N2231" s="774"/>
      <c r="O2231" s="774"/>
      <c r="P2231" s="774"/>
      <c r="Q2231" s="774"/>
      <c r="R2231" s="774"/>
      <c r="S2231" s="774"/>
    </row>
    <row r="2232" spans="14:19" ht="29.1" customHeight="1">
      <c r="N2232" s="774"/>
      <c r="O2232" s="774"/>
      <c r="P2232" s="774"/>
      <c r="Q2232" s="774"/>
      <c r="R2232" s="774"/>
      <c r="S2232" s="774"/>
    </row>
  </sheetData>
  <pageMargins left="0.7" right="0.7" top="0.75" bottom="0.75" header="0.3" footer="0.3"/>
  <pageSetup scale="55" orientation="portrait" r:id="rId1"/>
  <headerFooter>
    <oddHeader>&amp;C&amp;"Algerian,Bold"&amp;26HAY'ADDA WAXKA QABADKA MIINADA &amp; WALXAHA QARXA (SMAC)</oddHeader>
    <oddFooter>&amp;R&amp;"Times New Roman,Bold"26</oddFooter>
  </headerFooter>
  <rowBreaks count="1" manualBreakCount="1">
    <brk id="4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view="pageBreakPreview" topLeftCell="B37" zoomScale="60" zoomScaleNormal="100" workbookViewId="0">
      <selection activeCell="S59" sqref="S59"/>
    </sheetView>
  </sheetViews>
  <sheetFormatPr defaultRowHeight="24.95" customHeight="1"/>
  <cols>
    <col min="1" max="1" width="18.1640625" style="399" bestFit="1" customWidth="1"/>
    <col min="2" max="2" width="92.6640625" style="399" customWidth="1"/>
    <col min="3" max="3" width="0.1640625" style="399" hidden="1" customWidth="1"/>
    <col min="4" max="8" width="9.33203125" style="399" hidden="1" customWidth="1"/>
    <col min="9" max="9" width="0.1640625" style="399" hidden="1" customWidth="1"/>
    <col min="10" max="11" width="9.33203125" style="399" hidden="1" customWidth="1"/>
    <col min="12" max="13" width="25.33203125" style="399" hidden="1" customWidth="1"/>
    <col min="14" max="14" width="35" style="561" hidden="1" customWidth="1"/>
    <col min="15" max="15" width="0.33203125" style="561" hidden="1" customWidth="1"/>
    <col min="16" max="17" width="35" style="561" hidden="1" customWidth="1"/>
    <col min="18" max="19" width="35" style="561" customWidth="1"/>
    <col min="20" max="20" width="33.6640625" style="561" customWidth="1"/>
    <col min="21" max="16384" width="9.33203125" style="399"/>
  </cols>
  <sheetData>
    <row r="1" spans="1:20" ht="24.95" customHeight="1">
      <c r="A1" s="478" t="s">
        <v>40</v>
      </c>
      <c r="B1" s="545" t="s">
        <v>1424</v>
      </c>
      <c r="C1" s="292"/>
      <c r="D1" s="292"/>
      <c r="E1" s="292"/>
      <c r="F1" s="246"/>
      <c r="G1" s="292"/>
      <c r="H1" s="292"/>
      <c r="I1" s="292"/>
      <c r="J1" s="292"/>
      <c r="K1" s="292"/>
      <c r="L1" s="292"/>
      <c r="M1" s="292"/>
      <c r="N1" s="246"/>
      <c r="O1" s="246"/>
      <c r="P1" s="246"/>
      <c r="Q1" s="246"/>
      <c r="R1" s="246"/>
      <c r="S1" s="246"/>
      <c r="T1" s="246"/>
    </row>
    <row r="2" spans="1:20" ht="24.95" customHeight="1">
      <c r="A2" s="478" t="s">
        <v>25</v>
      </c>
      <c r="B2" s="478" t="s">
        <v>26</v>
      </c>
      <c r="C2" s="478" t="s">
        <v>38</v>
      </c>
      <c r="D2" s="482" t="s">
        <v>2</v>
      </c>
      <c r="E2" s="482" t="s">
        <v>43</v>
      </c>
      <c r="F2" s="280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116</v>
      </c>
      <c r="L2" s="482" t="s">
        <v>151</v>
      </c>
      <c r="M2" s="482" t="s">
        <v>257</v>
      </c>
      <c r="N2" s="286" t="s">
        <v>444</v>
      </c>
      <c r="O2" s="286" t="s">
        <v>814</v>
      </c>
      <c r="P2" s="286" t="s">
        <v>874</v>
      </c>
      <c r="Q2" s="286" t="s">
        <v>973</v>
      </c>
      <c r="R2" s="286" t="s">
        <v>1160</v>
      </c>
      <c r="S2" s="286" t="s">
        <v>1320</v>
      </c>
      <c r="T2" s="286" t="s">
        <v>56</v>
      </c>
    </row>
    <row r="3" spans="1:20" ht="24.95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24.95" customHeight="1">
      <c r="A4" s="476">
        <v>2110</v>
      </c>
      <c r="B4" s="280" t="s">
        <v>213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24.95" customHeight="1">
      <c r="A5" s="392">
        <v>21101</v>
      </c>
      <c r="B5" s="246" t="s">
        <v>304</v>
      </c>
      <c r="C5" s="246"/>
      <c r="D5" s="246"/>
      <c r="E5" s="246"/>
      <c r="F5" s="246"/>
      <c r="G5" s="246"/>
      <c r="H5" s="246"/>
      <c r="I5" s="246"/>
      <c r="J5" s="246"/>
      <c r="K5" s="246"/>
      <c r="L5" s="246">
        <v>348915600</v>
      </c>
      <c r="M5" s="246">
        <v>1636809600</v>
      </c>
      <c r="N5" s="246">
        <v>1633382400</v>
      </c>
      <c r="O5" s="246">
        <v>2301873600</v>
      </c>
      <c r="P5" s="246">
        <v>3255782400</v>
      </c>
      <c r="Q5" s="246">
        <v>3352377600</v>
      </c>
      <c r="R5" s="246">
        <v>3449571840</v>
      </c>
      <c r="S5" s="840">
        <v>4918687488</v>
      </c>
      <c r="T5" s="246">
        <f>S5-R5</f>
        <v>1469115648</v>
      </c>
    </row>
    <row r="6" spans="1:20" ht="24.95" customHeight="1">
      <c r="A6" s="392">
        <v>21101</v>
      </c>
      <c r="B6" s="246" t="s">
        <v>1144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>
        <v>0</v>
      </c>
      <c r="Q6" s="246">
        <v>1939504320</v>
      </c>
      <c r="R6" s="246">
        <v>1939504320</v>
      </c>
      <c r="S6" s="840">
        <v>2580548256</v>
      </c>
      <c r="T6" s="246">
        <f t="shared" ref="T6:T59" si="0">S6-R6</f>
        <v>641043936</v>
      </c>
    </row>
    <row r="7" spans="1:20" ht="24.95" customHeight="1">
      <c r="A7" s="392">
        <v>21102</v>
      </c>
      <c r="B7" s="246" t="s">
        <v>554</v>
      </c>
      <c r="C7" s="246"/>
      <c r="D7" s="246"/>
      <c r="E7" s="246"/>
      <c r="F7" s="246"/>
      <c r="G7" s="246"/>
      <c r="H7" s="246"/>
      <c r="I7" s="246"/>
      <c r="J7" s="246"/>
      <c r="K7" s="246"/>
      <c r="L7" s="246">
        <v>532020000</v>
      </c>
      <c r="M7" s="246">
        <v>0</v>
      </c>
      <c r="N7" s="246">
        <v>97200000</v>
      </c>
      <c r="O7" s="246">
        <v>194400000</v>
      </c>
      <c r="P7" s="246">
        <v>194400000</v>
      </c>
      <c r="Q7" s="246">
        <v>308400000</v>
      </c>
      <c r="R7" s="246">
        <v>308400000</v>
      </c>
      <c r="S7" s="840">
        <v>405600000</v>
      </c>
      <c r="T7" s="246">
        <f t="shared" si="0"/>
        <v>97200000</v>
      </c>
    </row>
    <row r="8" spans="1:20" ht="24.95" customHeight="1">
      <c r="A8" s="392">
        <v>21103</v>
      </c>
      <c r="B8" s="246" t="s">
        <v>347</v>
      </c>
      <c r="C8" s="246"/>
      <c r="D8" s="246"/>
      <c r="E8" s="246"/>
      <c r="F8" s="246"/>
      <c r="G8" s="246"/>
      <c r="H8" s="246"/>
      <c r="I8" s="246"/>
      <c r="J8" s="246"/>
      <c r="K8" s="246"/>
      <c r="L8" s="246">
        <v>108314400</v>
      </c>
      <c r="M8" s="246">
        <f>108314400+263131200+40000000+40000000</f>
        <v>451445600</v>
      </c>
      <c r="N8" s="246">
        <v>494645600</v>
      </c>
      <c r="O8" s="246">
        <v>649445600</v>
      </c>
      <c r="P8" s="246">
        <v>324000000</v>
      </c>
      <c r="Q8" s="246">
        <v>396000000</v>
      </c>
      <c r="R8" s="246">
        <v>396000000</v>
      </c>
      <c r="S8" s="840">
        <v>468000000</v>
      </c>
      <c r="T8" s="246">
        <f t="shared" si="0"/>
        <v>72000000</v>
      </c>
    </row>
    <row r="9" spans="1:20" ht="24.95" customHeight="1">
      <c r="A9" s="392">
        <v>21105</v>
      </c>
      <c r="B9" s="246" t="s">
        <v>876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>
        <v>0</v>
      </c>
      <c r="P9" s="246">
        <v>637045600</v>
      </c>
      <c r="Q9" s="246">
        <v>637045600</v>
      </c>
      <c r="R9" s="246">
        <v>637045600</v>
      </c>
      <c r="S9" s="840">
        <v>3282000000</v>
      </c>
      <c r="T9" s="246">
        <f t="shared" si="0"/>
        <v>2644954400</v>
      </c>
    </row>
    <row r="10" spans="1:20" ht="24.95" customHeight="1">
      <c r="A10" s="392">
        <v>21105</v>
      </c>
      <c r="B10" s="246" t="s">
        <v>1145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>
        <v>0</v>
      </c>
      <c r="Q10" s="246">
        <v>2418994960</v>
      </c>
      <c r="R10" s="246">
        <v>2418994960</v>
      </c>
      <c r="S10" s="840">
        <v>1723200000</v>
      </c>
      <c r="T10" s="246">
        <f t="shared" si="0"/>
        <v>-695794960</v>
      </c>
    </row>
    <row r="11" spans="1:20" ht="24.95" customHeight="1">
      <c r="A11" s="392"/>
      <c r="B11" s="280" t="s">
        <v>92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80">
        <f>SUM(L5:L8)</f>
        <v>989250000</v>
      </c>
      <c r="M11" s="280">
        <f>SUM(M5:M8)</f>
        <v>2088255200</v>
      </c>
      <c r="N11" s="280">
        <f>SUM(N5:N8)</f>
        <v>2225228000</v>
      </c>
      <c r="O11" s="280">
        <f>SUM(O5:O9)</f>
        <v>3145719200</v>
      </c>
      <c r="P11" s="280">
        <f>SUM(P5:P10)</f>
        <v>4411228000</v>
      </c>
      <c r="Q11" s="280">
        <f>SUM(Q5:Q10)</f>
        <v>9052322480</v>
      </c>
      <c r="R11" s="280">
        <f>SUM(R5:R10)</f>
        <v>9149516720</v>
      </c>
      <c r="S11" s="851">
        <f>SUM(S5:S10)</f>
        <v>13378035744</v>
      </c>
      <c r="T11" s="280">
        <f t="shared" si="0"/>
        <v>4228519024</v>
      </c>
    </row>
    <row r="12" spans="1:20" ht="24.95" customHeight="1">
      <c r="A12" s="476">
        <v>220</v>
      </c>
      <c r="B12" s="280" t="s">
        <v>225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840"/>
      <c r="T12" s="246">
        <f t="shared" si="0"/>
        <v>0</v>
      </c>
    </row>
    <row r="13" spans="1:20" ht="24.95" customHeight="1">
      <c r="A13" s="476">
        <v>2210</v>
      </c>
      <c r="B13" s="280" t="s">
        <v>226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840"/>
      <c r="T13" s="246">
        <f t="shared" si="0"/>
        <v>0</v>
      </c>
    </row>
    <row r="14" spans="1:20" ht="24.95" customHeight="1">
      <c r="A14" s="392">
        <v>22101</v>
      </c>
      <c r="B14" s="246" t="s">
        <v>33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>
        <v>22344000</v>
      </c>
      <c r="M14" s="246">
        <f>22344000*70%</f>
        <v>15640799.999999998</v>
      </c>
      <c r="N14" s="246">
        <f>22344000*70%</f>
        <v>15640799.999999998</v>
      </c>
      <c r="O14" s="246">
        <v>15640799.999999998</v>
      </c>
      <c r="P14" s="246">
        <v>15640799.999999998</v>
      </c>
      <c r="Q14" s="246">
        <v>15640799.999999998</v>
      </c>
      <c r="R14" s="246">
        <v>15640799.999999998</v>
      </c>
      <c r="S14" s="840">
        <v>15640799.999999998</v>
      </c>
      <c r="T14" s="246">
        <f t="shared" si="0"/>
        <v>0</v>
      </c>
    </row>
    <row r="15" spans="1:20" ht="24.95" customHeight="1">
      <c r="A15" s="392">
        <v>22102</v>
      </c>
      <c r="B15" s="246" t="s">
        <v>124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840">
        <v>0</v>
      </c>
      <c r="T15" s="246">
        <f t="shared" si="0"/>
        <v>0</v>
      </c>
    </row>
    <row r="16" spans="1:20" ht="24.95" customHeight="1">
      <c r="A16" s="392">
        <v>22103</v>
      </c>
      <c r="B16" s="246" t="s">
        <v>125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840">
        <v>0</v>
      </c>
      <c r="T16" s="246">
        <f t="shared" si="0"/>
        <v>0</v>
      </c>
    </row>
    <row r="17" spans="1:20" ht="24.95" customHeight="1">
      <c r="A17" s="392">
        <v>22104</v>
      </c>
      <c r="B17" s="246" t="s">
        <v>157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>
        <v>74480000</v>
      </c>
      <c r="M17" s="246">
        <f>74480000*70%</f>
        <v>52136000</v>
      </c>
      <c r="N17" s="246">
        <f>74480000*70%</f>
        <v>52136000</v>
      </c>
      <c r="O17" s="246">
        <v>52136000</v>
      </c>
      <c r="P17" s="246">
        <v>52136000</v>
      </c>
      <c r="Q17" s="246">
        <v>52136000</v>
      </c>
      <c r="R17" s="246">
        <v>52136000</v>
      </c>
      <c r="S17" s="840">
        <v>280000000</v>
      </c>
      <c r="T17" s="246">
        <f t="shared" si="0"/>
        <v>227864000</v>
      </c>
    </row>
    <row r="18" spans="1:20" ht="24.95" customHeight="1">
      <c r="A18" s="392">
        <v>22105</v>
      </c>
      <c r="B18" s="246" t="s">
        <v>483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840">
        <v>130000000</v>
      </c>
      <c r="T18" s="246">
        <f t="shared" si="0"/>
        <v>130000000</v>
      </c>
    </row>
    <row r="19" spans="1:20" ht="24.95" customHeight="1">
      <c r="A19" s="392">
        <v>22106</v>
      </c>
      <c r="B19" s="246" t="s">
        <v>568</v>
      </c>
      <c r="C19" s="246"/>
      <c r="D19" s="246"/>
      <c r="E19" s="246"/>
      <c r="F19" s="246"/>
      <c r="G19" s="246"/>
      <c r="H19" s="246"/>
      <c r="I19" s="246"/>
      <c r="J19" s="246"/>
      <c r="K19" s="280"/>
      <c r="L19" s="246">
        <v>74480000</v>
      </c>
      <c r="M19" s="246">
        <f>74480000*70%</f>
        <v>52136000</v>
      </c>
      <c r="N19" s="246">
        <f>M19</f>
        <v>52136000</v>
      </c>
      <c r="O19" s="246">
        <v>52136000</v>
      </c>
      <c r="P19" s="246">
        <v>52136000</v>
      </c>
      <c r="Q19" s="246">
        <v>52136000</v>
      </c>
      <c r="R19" s="246">
        <v>52136000</v>
      </c>
      <c r="S19" s="840">
        <v>52136000</v>
      </c>
      <c r="T19" s="246">
        <f t="shared" si="0"/>
        <v>0</v>
      </c>
    </row>
    <row r="20" spans="1:20" ht="24.95" customHeight="1">
      <c r="A20" s="392">
        <v>22107</v>
      </c>
      <c r="B20" s="246" t="s">
        <v>48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>
        <v>37240000</v>
      </c>
      <c r="M20" s="246">
        <f>37240000*70%</f>
        <v>26068000</v>
      </c>
      <c r="N20" s="246">
        <f>M20*70%</f>
        <v>18247600</v>
      </c>
      <c r="O20" s="246">
        <v>50000000</v>
      </c>
      <c r="P20" s="246">
        <v>50000000</v>
      </c>
      <c r="Q20" s="246">
        <v>50000000</v>
      </c>
      <c r="R20" s="246">
        <v>50000000</v>
      </c>
      <c r="S20" s="840">
        <v>50000000</v>
      </c>
      <c r="T20" s="246">
        <f t="shared" si="0"/>
        <v>0</v>
      </c>
    </row>
    <row r="21" spans="1:20" ht="24.95" customHeight="1">
      <c r="A21" s="392">
        <v>22108</v>
      </c>
      <c r="B21" s="246" t="s">
        <v>1371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840">
        <v>114000000</v>
      </c>
      <c r="T21" s="246">
        <f t="shared" si="0"/>
        <v>114000000</v>
      </c>
    </row>
    <row r="22" spans="1:20" ht="24.95" customHeight="1">
      <c r="A22" s="392">
        <v>22109</v>
      </c>
      <c r="B22" s="246" t="s">
        <v>136</v>
      </c>
      <c r="C22" s="280"/>
      <c r="D22" s="280"/>
      <c r="E22" s="280"/>
      <c r="F22" s="280"/>
      <c r="G22" s="280"/>
      <c r="H22" s="280"/>
      <c r="I22" s="280"/>
      <c r="J22" s="280"/>
      <c r="K22" s="246"/>
      <c r="L22" s="246">
        <v>5000000</v>
      </c>
      <c r="M22" s="246">
        <f>5000000*70%</f>
        <v>3500000</v>
      </c>
      <c r="N22" s="246">
        <f>5000000*70%</f>
        <v>3500000</v>
      </c>
      <c r="O22" s="246">
        <v>20000000</v>
      </c>
      <c r="P22" s="246">
        <v>20000000</v>
      </c>
      <c r="Q22" s="246">
        <v>20000000</v>
      </c>
      <c r="R22" s="246">
        <v>20000000</v>
      </c>
      <c r="S22" s="840">
        <v>20000000</v>
      </c>
      <c r="T22" s="246">
        <f t="shared" si="0"/>
        <v>0</v>
      </c>
    </row>
    <row r="23" spans="1:20" ht="24.95" customHeight="1">
      <c r="A23" s="392">
        <v>22112</v>
      </c>
      <c r="B23" s="246" t="s">
        <v>35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>
        <v>22344000</v>
      </c>
      <c r="M23" s="246">
        <f>22344000*70%</f>
        <v>15640799.999999998</v>
      </c>
      <c r="N23" s="246">
        <f>22344000*70%</f>
        <v>15640799.999999998</v>
      </c>
      <c r="O23" s="246">
        <v>15640799.999999998</v>
      </c>
      <c r="P23" s="246">
        <v>15640799.999999998</v>
      </c>
      <c r="Q23" s="246">
        <v>15640799.999999998</v>
      </c>
      <c r="R23" s="246">
        <v>15640799.999999998</v>
      </c>
      <c r="S23" s="840">
        <v>78000000</v>
      </c>
      <c r="T23" s="246">
        <f t="shared" si="0"/>
        <v>62359200</v>
      </c>
    </row>
    <row r="24" spans="1:20" ht="24.95" customHeight="1">
      <c r="A24" s="392">
        <v>22122</v>
      </c>
      <c r="B24" s="246" t="s">
        <v>1166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>
        <v>100000000</v>
      </c>
      <c r="S24" s="840">
        <v>100000000</v>
      </c>
      <c r="T24" s="246">
        <f t="shared" si="0"/>
        <v>0</v>
      </c>
    </row>
    <row r="25" spans="1:20" ht="24.95" customHeight="1">
      <c r="A25" s="392">
        <v>22130</v>
      </c>
      <c r="B25" s="246" t="s">
        <v>1215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>
        <v>0</v>
      </c>
      <c r="R25" s="246">
        <v>150000000</v>
      </c>
      <c r="S25" s="840">
        <v>250000000</v>
      </c>
      <c r="T25" s="246">
        <f t="shared" si="0"/>
        <v>100000000</v>
      </c>
    </row>
    <row r="26" spans="1:20" ht="24.95" customHeight="1">
      <c r="A26" s="392">
        <v>22137</v>
      </c>
      <c r="B26" s="246" t="s">
        <v>293</v>
      </c>
      <c r="C26" s="292"/>
      <c r="D26" s="292"/>
      <c r="E26" s="292"/>
      <c r="F26" s="274"/>
      <c r="G26" s="274"/>
      <c r="H26" s="274"/>
      <c r="I26" s="274"/>
      <c r="J26" s="274"/>
      <c r="K26" s="274"/>
      <c r="L26" s="290">
        <v>70000000</v>
      </c>
      <c r="M26" s="290">
        <f>70000000*70%</f>
        <v>49000000</v>
      </c>
      <c r="N26" s="246">
        <f>70000000*70%</f>
        <v>49000000</v>
      </c>
      <c r="O26" s="246">
        <v>100000000</v>
      </c>
      <c r="P26" s="246">
        <v>150000000</v>
      </c>
      <c r="Q26" s="246">
        <v>150000000</v>
      </c>
      <c r="R26" s="246">
        <v>150000000</v>
      </c>
      <c r="S26" s="840">
        <v>3964054560</v>
      </c>
      <c r="T26" s="246">
        <f t="shared" si="0"/>
        <v>3814054560</v>
      </c>
    </row>
    <row r="27" spans="1:20" ht="24.95" customHeight="1">
      <c r="A27" s="392">
        <v>22142</v>
      </c>
      <c r="B27" s="246" t="s">
        <v>1087</v>
      </c>
      <c r="C27" s="292"/>
      <c r="D27" s="292"/>
      <c r="E27" s="292"/>
      <c r="F27" s="274"/>
      <c r="G27" s="274"/>
      <c r="H27" s="274"/>
      <c r="I27" s="274"/>
      <c r="J27" s="274"/>
      <c r="K27" s="274"/>
      <c r="L27" s="290"/>
      <c r="M27" s="290"/>
      <c r="N27" s="246"/>
      <c r="O27" s="246"/>
      <c r="P27" s="246">
        <v>0</v>
      </c>
      <c r="Q27" s="246">
        <v>4709887752</v>
      </c>
      <c r="R27" s="246">
        <v>4709887752</v>
      </c>
      <c r="S27" s="840">
        <v>4709887752</v>
      </c>
      <c r="T27" s="246">
        <f t="shared" si="0"/>
        <v>0</v>
      </c>
    </row>
    <row r="28" spans="1:20" ht="24.95" customHeight="1">
      <c r="A28" s="392">
        <v>22186</v>
      </c>
      <c r="B28" s="246" t="s">
        <v>1086</v>
      </c>
      <c r="C28" s="292"/>
      <c r="D28" s="292"/>
      <c r="E28" s="292"/>
      <c r="F28" s="274"/>
      <c r="G28" s="274"/>
      <c r="H28" s="274"/>
      <c r="I28" s="274"/>
      <c r="J28" s="274"/>
      <c r="K28" s="274"/>
      <c r="L28" s="290"/>
      <c r="M28" s="290"/>
      <c r="N28" s="246"/>
      <c r="O28" s="246"/>
      <c r="P28" s="246">
        <v>0</v>
      </c>
      <c r="Q28" s="246">
        <v>2419200000</v>
      </c>
      <c r="R28" s="246">
        <v>2527200000</v>
      </c>
      <c r="S28" s="840">
        <v>2779200000</v>
      </c>
      <c r="T28" s="246">
        <f t="shared" si="0"/>
        <v>252000000</v>
      </c>
    </row>
    <row r="29" spans="1:20" ht="24.95" customHeight="1">
      <c r="A29" s="392">
        <v>22189</v>
      </c>
      <c r="B29" s="246" t="s">
        <v>1085</v>
      </c>
      <c r="C29" s="280"/>
      <c r="D29" s="280"/>
      <c r="E29" s="280"/>
      <c r="F29" s="280"/>
      <c r="G29" s="280"/>
      <c r="H29" s="280"/>
      <c r="I29" s="280"/>
      <c r="J29" s="280"/>
      <c r="K29" s="246"/>
      <c r="L29" s="246"/>
      <c r="M29" s="246"/>
      <c r="N29" s="246"/>
      <c r="O29" s="246"/>
      <c r="P29" s="246">
        <v>0</v>
      </c>
      <c r="Q29" s="246">
        <v>1041109320</v>
      </c>
      <c r="R29" s="246">
        <v>1041109320</v>
      </c>
      <c r="S29" s="840">
        <v>1041109320</v>
      </c>
      <c r="T29" s="246">
        <f t="shared" si="0"/>
        <v>0</v>
      </c>
    </row>
    <row r="30" spans="1:20" ht="24.95" customHeight="1">
      <c r="A30" s="392"/>
      <c r="B30" s="280" t="s">
        <v>92</v>
      </c>
      <c r="C30" s="292"/>
      <c r="D30" s="292"/>
      <c r="E30" s="292"/>
      <c r="F30" s="292"/>
      <c r="G30" s="292"/>
      <c r="H30" s="292"/>
      <c r="I30" s="292"/>
      <c r="J30" s="292"/>
      <c r="K30" s="290"/>
      <c r="L30" s="279">
        <f>SUM(L14:L26)</f>
        <v>305888000</v>
      </c>
      <c r="M30" s="279">
        <f>SUM(M14:M26)</f>
        <v>214121600</v>
      </c>
      <c r="N30" s="280">
        <f>SUM(N14:N26)</f>
        <v>206301200</v>
      </c>
      <c r="O30" s="280">
        <f>SUM(O14:O26)</f>
        <v>305553600</v>
      </c>
      <c r="P30" s="280">
        <f>SUM(P14:P28)</f>
        <v>355553600</v>
      </c>
      <c r="Q30" s="280">
        <f>SUM(Q14:Q29)</f>
        <v>8525750672</v>
      </c>
      <c r="R30" s="280">
        <f>SUM(R14:R29)</f>
        <v>8883750672</v>
      </c>
      <c r="S30" s="851">
        <f>SUM(S14:S29)</f>
        <v>13584028432</v>
      </c>
      <c r="T30" s="280">
        <f t="shared" si="0"/>
        <v>4700277760</v>
      </c>
    </row>
    <row r="31" spans="1:20" ht="24.95" customHeight="1">
      <c r="A31" s="476">
        <v>2220</v>
      </c>
      <c r="B31" s="280" t="s">
        <v>240</v>
      </c>
      <c r="C31" s="292"/>
      <c r="D31" s="292"/>
      <c r="E31" s="292"/>
      <c r="F31" s="292"/>
      <c r="G31" s="292"/>
      <c r="H31" s="292"/>
      <c r="I31" s="292"/>
      <c r="J31" s="292"/>
      <c r="K31" s="246"/>
      <c r="L31" s="292"/>
      <c r="M31" s="292"/>
      <c r="N31" s="246"/>
      <c r="O31" s="246"/>
      <c r="P31" s="246"/>
      <c r="Q31" s="246"/>
      <c r="R31" s="246"/>
      <c r="S31" s="840"/>
      <c r="T31" s="246">
        <f t="shared" si="0"/>
        <v>0</v>
      </c>
    </row>
    <row r="32" spans="1:20" ht="24.95" customHeight="1">
      <c r="A32" s="392">
        <v>22201</v>
      </c>
      <c r="B32" s="246" t="s">
        <v>132</v>
      </c>
      <c r="C32" s="292"/>
      <c r="D32" s="292"/>
      <c r="E32" s="292"/>
      <c r="F32" s="292"/>
      <c r="G32" s="292"/>
      <c r="H32" s="292"/>
      <c r="I32" s="292"/>
      <c r="J32" s="292"/>
      <c r="K32" s="246"/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840">
        <v>0</v>
      </c>
      <c r="T32" s="246">
        <f t="shared" si="0"/>
        <v>0</v>
      </c>
    </row>
    <row r="33" spans="1:20" ht="24.95" customHeight="1">
      <c r="A33" s="392">
        <v>22202</v>
      </c>
      <c r="B33" s="246" t="s">
        <v>133</v>
      </c>
      <c r="C33" s="292"/>
      <c r="D33" s="292"/>
      <c r="E33" s="292"/>
      <c r="F33" s="292"/>
      <c r="G33" s="292"/>
      <c r="H33" s="292"/>
      <c r="I33" s="292"/>
      <c r="J33" s="292"/>
      <c r="K33" s="246"/>
      <c r="L33" s="290">
        <v>900000000</v>
      </c>
      <c r="M33" s="290">
        <f>900000000*70%</f>
        <v>630000000</v>
      </c>
      <c r="N33" s="246">
        <f>M33</f>
        <v>630000000</v>
      </c>
      <c r="O33" s="246">
        <v>1600000000</v>
      </c>
      <c r="P33" s="246">
        <v>1600000000</v>
      </c>
      <c r="Q33" s="246">
        <v>1600000000</v>
      </c>
      <c r="R33" s="246">
        <v>1600000000</v>
      </c>
      <c r="S33" s="840">
        <v>2158000000</v>
      </c>
      <c r="T33" s="246">
        <f t="shared" si="0"/>
        <v>558000000</v>
      </c>
    </row>
    <row r="34" spans="1:20" ht="24.95" customHeight="1">
      <c r="A34" s="392">
        <v>22203</v>
      </c>
      <c r="B34" s="246" t="s">
        <v>127</v>
      </c>
      <c r="C34" s="292"/>
      <c r="D34" s="292"/>
      <c r="E34" s="292"/>
      <c r="F34" s="292"/>
      <c r="G34" s="292"/>
      <c r="H34" s="292"/>
      <c r="I34" s="292"/>
      <c r="J34" s="292"/>
      <c r="K34" s="291"/>
      <c r="L34" s="246">
        <v>33516000</v>
      </c>
      <c r="M34" s="246">
        <f>33516000*70%</f>
        <v>23461200</v>
      </c>
      <c r="N34" s="246">
        <f>33516000*70%</f>
        <v>23461200</v>
      </c>
      <c r="O34" s="246">
        <v>23461200</v>
      </c>
      <c r="P34" s="246">
        <v>23461200</v>
      </c>
      <c r="Q34" s="246">
        <v>23461200</v>
      </c>
      <c r="R34" s="246">
        <v>23461200</v>
      </c>
      <c r="S34" s="840">
        <v>23461200</v>
      </c>
      <c r="T34" s="246">
        <f t="shared" si="0"/>
        <v>0</v>
      </c>
    </row>
    <row r="35" spans="1:20" ht="24.95" customHeight="1">
      <c r="A35" s="392">
        <v>22204</v>
      </c>
      <c r="B35" s="246" t="s">
        <v>128</v>
      </c>
      <c r="C35" s="292"/>
      <c r="D35" s="292"/>
      <c r="E35" s="292"/>
      <c r="F35" s="292"/>
      <c r="G35" s="292"/>
      <c r="H35" s="292"/>
      <c r="I35" s="292"/>
      <c r="J35" s="292"/>
      <c r="K35" s="291"/>
      <c r="L35" s="246">
        <v>18620000</v>
      </c>
      <c r="M35" s="246">
        <f>18620000*70%</f>
        <v>13034000</v>
      </c>
      <c r="N35" s="246">
        <f>18620000*70%</f>
        <v>13034000</v>
      </c>
      <c r="O35" s="246">
        <v>13034000</v>
      </c>
      <c r="P35" s="246">
        <v>13034000</v>
      </c>
      <c r="Q35" s="246">
        <v>13034000</v>
      </c>
      <c r="R35" s="246">
        <v>13034000</v>
      </c>
      <c r="S35" s="840">
        <v>13034000</v>
      </c>
      <c r="T35" s="246">
        <f t="shared" si="0"/>
        <v>0</v>
      </c>
    </row>
    <row r="36" spans="1:20" ht="24.95" customHeight="1">
      <c r="A36" s="392">
        <v>22208</v>
      </c>
      <c r="B36" s="246" t="s">
        <v>76</v>
      </c>
      <c r="C36" s="292"/>
      <c r="D36" s="292"/>
      <c r="E36" s="292"/>
      <c r="F36" s="246"/>
      <c r="G36" s="292"/>
      <c r="H36" s="292"/>
      <c r="I36" s="292"/>
      <c r="J36" s="292"/>
      <c r="K36" s="292"/>
      <c r="L36" s="290">
        <v>38500000</v>
      </c>
      <c r="M36" s="290">
        <f>38500000*70%</f>
        <v>26950000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  <c r="S36" s="840">
        <v>0</v>
      </c>
      <c r="T36" s="246">
        <f t="shared" si="0"/>
        <v>0</v>
      </c>
    </row>
    <row r="37" spans="1:20" ht="24.95" customHeight="1">
      <c r="A37" s="392">
        <v>22218</v>
      </c>
      <c r="B37" s="246" t="s">
        <v>498</v>
      </c>
      <c r="C37" s="280"/>
      <c r="D37" s="280"/>
      <c r="E37" s="280"/>
      <c r="F37" s="280"/>
      <c r="G37" s="280"/>
      <c r="H37" s="280"/>
      <c r="I37" s="280"/>
      <c r="J37" s="280"/>
      <c r="K37" s="246"/>
      <c r="L37" s="246">
        <v>217304000</v>
      </c>
      <c r="M37" s="246">
        <f>217304000*70%</f>
        <v>152112800</v>
      </c>
      <c r="N37" s="246">
        <f>M37</f>
        <v>152112800</v>
      </c>
      <c r="O37" s="246">
        <v>200000000</v>
      </c>
      <c r="P37" s="246">
        <v>300000000</v>
      </c>
      <c r="Q37" s="246">
        <v>300000000</v>
      </c>
      <c r="R37" s="246">
        <v>300000000</v>
      </c>
      <c r="S37" s="840">
        <v>1500000000</v>
      </c>
      <c r="T37" s="246">
        <f t="shared" si="0"/>
        <v>1200000000</v>
      </c>
    </row>
    <row r="38" spans="1:20" ht="24.95" customHeight="1">
      <c r="A38" s="392">
        <v>22217</v>
      </c>
      <c r="B38" s="246" t="s">
        <v>1088</v>
      </c>
      <c r="C38" s="280"/>
      <c r="D38" s="280"/>
      <c r="E38" s="280"/>
      <c r="F38" s="280"/>
      <c r="G38" s="280"/>
      <c r="H38" s="280"/>
      <c r="I38" s="280"/>
      <c r="J38" s="280"/>
      <c r="K38" s="246"/>
      <c r="L38" s="246"/>
      <c r="M38" s="246"/>
      <c r="N38" s="246"/>
      <c r="O38" s="246"/>
      <c r="P38" s="246">
        <v>0</v>
      </c>
      <c r="Q38" s="246">
        <v>1619000000</v>
      </c>
      <c r="R38" s="246">
        <v>1619000000</v>
      </c>
      <c r="S38" s="840">
        <f>R38</f>
        <v>1619000000</v>
      </c>
      <c r="T38" s="246">
        <f t="shared" si="0"/>
        <v>0</v>
      </c>
    </row>
    <row r="39" spans="1:20" ht="24.95" customHeight="1">
      <c r="A39" s="392"/>
      <c r="B39" s="280" t="s">
        <v>92</v>
      </c>
      <c r="C39" s="292"/>
      <c r="D39" s="292"/>
      <c r="E39" s="292"/>
      <c r="F39" s="246"/>
      <c r="G39" s="292"/>
      <c r="H39" s="292"/>
      <c r="I39" s="292"/>
      <c r="J39" s="292"/>
      <c r="K39" s="292"/>
      <c r="L39" s="291">
        <f>SUM(L32:L36)</f>
        <v>990636000</v>
      </c>
      <c r="M39" s="291">
        <f>SUM(M32:M36)</f>
        <v>693445200</v>
      </c>
      <c r="N39" s="280">
        <f>SUM(N32:N36)</f>
        <v>666495200</v>
      </c>
      <c r="O39" s="280">
        <f>SUM(O32:O36)</f>
        <v>1636495200</v>
      </c>
      <c r="P39" s="280">
        <f>SUM(P32:P36)</f>
        <v>1636495200</v>
      </c>
      <c r="Q39" s="280">
        <f>SUM(Q32:Q38)</f>
        <v>3555495200</v>
      </c>
      <c r="R39" s="280">
        <f>SUM(R32:R38)</f>
        <v>3555495200</v>
      </c>
      <c r="S39" s="851">
        <f>SUM(S32:S38)</f>
        <v>5313495200</v>
      </c>
      <c r="T39" s="280">
        <f t="shared" si="0"/>
        <v>1758000000</v>
      </c>
    </row>
    <row r="40" spans="1:20" ht="24.95" customHeight="1">
      <c r="A40" s="476">
        <v>2230</v>
      </c>
      <c r="B40" s="280" t="s">
        <v>130</v>
      </c>
      <c r="C40" s="292"/>
      <c r="D40" s="292"/>
      <c r="E40" s="292"/>
      <c r="F40" s="246"/>
      <c r="G40" s="292"/>
      <c r="H40" s="292"/>
      <c r="I40" s="292"/>
      <c r="J40" s="292"/>
      <c r="K40" s="292"/>
      <c r="L40" s="292"/>
      <c r="M40" s="292"/>
      <c r="N40" s="246"/>
      <c r="O40" s="246"/>
      <c r="P40" s="246"/>
      <c r="Q40" s="246"/>
      <c r="R40" s="246"/>
      <c r="S40" s="840"/>
      <c r="T40" s="246">
        <f t="shared" si="0"/>
        <v>0</v>
      </c>
    </row>
    <row r="41" spans="1:20" ht="24.95" customHeight="1">
      <c r="A41" s="392">
        <v>22301</v>
      </c>
      <c r="B41" s="246" t="s">
        <v>49</v>
      </c>
      <c r="C41" s="292"/>
      <c r="D41" s="292"/>
      <c r="E41" s="292"/>
      <c r="F41" s="246"/>
      <c r="G41" s="292"/>
      <c r="H41" s="292"/>
      <c r="I41" s="292"/>
      <c r="J41" s="292"/>
      <c r="K41" s="292"/>
      <c r="L41" s="246">
        <v>148960000</v>
      </c>
      <c r="M41" s="246">
        <f>148960000*70%</f>
        <v>104272000</v>
      </c>
      <c r="N41" s="246">
        <f>148960000*70%</f>
        <v>104272000</v>
      </c>
      <c r="O41" s="246">
        <v>250000000</v>
      </c>
      <c r="P41" s="246">
        <v>300000000</v>
      </c>
      <c r="Q41" s="246">
        <v>300000000</v>
      </c>
      <c r="R41" s="246">
        <v>300000000</v>
      </c>
      <c r="S41" s="840">
        <v>500000000</v>
      </c>
      <c r="T41" s="246">
        <f t="shared" si="0"/>
        <v>200000000</v>
      </c>
    </row>
    <row r="42" spans="1:20" ht="24.95" customHeight="1">
      <c r="A42" s="392">
        <v>22302</v>
      </c>
      <c r="B42" s="246" t="s">
        <v>249</v>
      </c>
      <c r="C42" s="292"/>
      <c r="D42" s="292"/>
      <c r="E42" s="292"/>
      <c r="F42" s="246"/>
      <c r="G42" s="292"/>
      <c r="H42" s="292"/>
      <c r="I42" s="292"/>
      <c r="J42" s="292"/>
      <c r="K42" s="292"/>
      <c r="L42" s="274">
        <f>K42-J42</f>
        <v>0</v>
      </c>
      <c r="M42" s="274">
        <f>L42-K42</f>
        <v>0</v>
      </c>
      <c r="N42" s="246">
        <f>M42-L42</f>
        <v>0</v>
      </c>
      <c r="O42" s="246">
        <v>0</v>
      </c>
      <c r="P42" s="246">
        <v>0</v>
      </c>
      <c r="Q42" s="246">
        <v>0</v>
      </c>
      <c r="R42" s="246">
        <v>0</v>
      </c>
      <c r="S42" s="840">
        <v>0</v>
      </c>
      <c r="T42" s="246">
        <f t="shared" si="0"/>
        <v>0</v>
      </c>
    </row>
    <row r="43" spans="1:20" ht="24.95" customHeight="1">
      <c r="A43" s="392"/>
      <c r="B43" s="280" t="s">
        <v>92</v>
      </c>
      <c r="C43" s="292"/>
      <c r="D43" s="292"/>
      <c r="E43" s="292"/>
      <c r="F43" s="246"/>
      <c r="G43" s="292"/>
      <c r="H43" s="292"/>
      <c r="I43" s="292"/>
      <c r="J43" s="292"/>
      <c r="K43" s="292"/>
      <c r="L43" s="279">
        <f t="shared" ref="L43:P43" si="1">SUM(L41:L42)</f>
        <v>148960000</v>
      </c>
      <c r="M43" s="279">
        <f t="shared" si="1"/>
        <v>104272000</v>
      </c>
      <c r="N43" s="280">
        <f t="shared" si="1"/>
        <v>104272000</v>
      </c>
      <c r="O43" s="280">
        <f t="shared" si="1"/>
        <v>250000000</v>
      </c>
      <c r="P43" s="280">
        <f t="shared" si="1"/>
        <v>300000000</v>
      </c>
      <c r="Q43" s="280">
        <f>SUM(Q41:Q42)</f>
        <v>300000000</v>
      </c>
      <c r="R43" s="280">
        <f>SUM(R41:R42)</f>
        <v>300000000</v>
      </c>
      <c r="S43" s="851">
        <f>SUM(S41:S42)</f>
        <v>500000000</v>
      </c>
      <c r="T43" s="280">
        <f t="shared" si="0"/>
        <v>200000000</v>
      </c>
    </row>
    <row r="44" spans="1:20" ht="24.95" customHeight="1">
      <c r="A44" s="476">
        <v>270</v>
      </c>
      <c r="B44" s="280" t="s">
        <v>253</v>
      </c>
      <c r="C44" s="292"/>
      <c r="D44" s="292"/>
      <c r="E44" s="292"/>
      <c r="F44" s="246"/>
      <c r="G44" s="292"/>
      <c r="H44" s="292"/>
      <c r="I44" s="292"/>
      <c r="J44" s="292"/>
      <c r="K44" s="292"/>
      <c r="L44" s="292"/>
      <c r="M44" s="292"/>
      <c r="N44" s="246"/>
      <c r="O44" s="246"/>
      <c r="P44" s="246"/>
      <c r="Q44" s="246"/>
      <c r="R44" s="246"/>
      <c r="S44" s="840"/>
      <c r="T44" s="246">
        <f t="shared" si="0"/>
        <v>0</v>
      </c>
    </row>
    <row r="45" spans="1:20" ht="24.95" customHeight="1">
      <c r="A45" s="476">
        <v>2710</v>
      </c>
      <c r="B45" s="280" t="s">
        <v>252</v>
      </c>
      <c r="C45" s="292"/>
      <c r="D45" s="292"/>
      <c r="E45" s="292"/>
      <c r="F45" s="246"/>
      <c r="G45" s="292"/>
      <c r="H45" s="292"/>
      <c r="I45" s="292"/>
      <c r="J45" s="292"/>
      <c r="K45" s="292"/>
      <c r="L45" s="292"/>
      <c r="M45" s="292"/>
      <c r="N45" s="246"/>
      <c r="O45" s="246"/>
      <c r="P45" s="246"/>
      <c r="Q45" s="246"/>
      <c r="R45" s="246"/>
      <c r="S45" s="840"/>
      <c r="T45" s="246">
        <f t="shared" si="0"/>
        <v>0</v>
      </c>
    </row>
    <row r="46" spans="1:20" ht="24.95" customHeight="1">
      <c r="A46" s="392">
        <v>27402</v>
      </c>
      <c r="B46" s="246" t="s">
        <v>500</v>
      </c>
      <c r="C46" s="292"/>
      <c r="D46" s="292"/>
      <c r="E46" s="292"/>
      <c r="F46" s="246"/>
      <c r="G46" s="292"/>
      <c r="H46" s="292"/>
      <c r="I46" s="292"/>
      <c r="J46" s="292"/>
      <c r="K46" s="292"/>
      <c r="L46" s="274">
        <f>K46-J46</f>
        <v>0</v>
      </c>
      <c r="M46" s="274">
        <v>185250000</v>
      </c>
      <c r="N46" s="246">
        <v>0</v>
      </c>
      <c r="O46" s="246">
        <v>138000000</v>
      </c>
      <c r="P46" s="246">
        <v>120000000</v>
      </c>
      <c r="Q46" s="246">
        <v>48000000</v>
      </c>
      <c r="R46" s="246">
        <v>300000000</v>
      </c>
      <c r="S46" s="840">
        <v>140000000</v>
      </c>
      <c r="T46" s="246">
        <f t="shared" si="0"/>
        <v>-160000000</v>
      </c>
    </row>
    <row r="47" spans="1:20" ht="24.95" customHeight="1">
      <c r="A47" s="392">
        <v>27502</v>
      </c>
      <c r="B47" s="246" t="s">
        <v>148</v>
      </c>
      <c r="C47" s="292"/>
      <c r="D47" s="292"/>
      <c r="E47" s="292"/>
      <c r="F47" s="246"/>
      <c r="G47" s="292"/>
      <c r="H47" s="292"/>
      <c r="I47" s="292"/>
      <c r="J47" s="292"/>
      <c r="K47" s="292"/>
      <c r="L47" s="290">
        <v>52136000</v>
      </c>
      <c r="M47" s="290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  <c r="S47" s="840">
        <v>0</v>
      </c>
      <c r="T47" s="246">
        <f t="shared" si="0"/>
        <v>0</v>
      </c>
    </row>
    <row r="48" spans="1:20" ht="24.95" customHeight="1">
      <c r="A48" s="392">
        <v>27604</v>
      </c>
      <c r="B48" s="246" t="s">
        <v>149</v>
      </c>
      <c r="C48" s="292"/>
      <c r="D48" s="292"/>
      <c r="E48" s="292"/>
      <c r="F48" s="246"/>
      <c r="G48" s="292"/>
      <c r="H48" s="292"/>
      <c r="I48" s="292"/>
      <c r="J48" s="292"/>
      <c r="K48" s="292"/>
      <c r="L48" s="290">
        <v>10000000</v>
      </c>
      <c r="M48" s="290">
        <f>10000000*70%</f>
        <v>7000000</v>
      </c>
      <c r="N48" s="246">
        <v>0</v>
      </c>
      <c r="O48" s="246">
        <v>0</v>
      </c>
      <c r="P48" s="246">
        <v>0</v>
      </c>
      <c r="Q48" s="246">
        <v>0</v>
      </c>
      <c r="R48" s="246">
        <v>0</v>
      </c>
      <c r="S48" s="840">
        <v>0</v>
      </c>
      <c r="T48" s="246">
        <f t="shared" si="0"/>
        <v>0</v>
      </c>
    </row>
    <row r="49" spans="1:20" ht="24.95" customHeight="1">
      <c r="A49" s="392">
        <v>27607</v>
      </c>
      <c r="B49" s="246" t="s">
        <v>1089</v>
      </c>
      <c r="C49" s="292"/>
      <c r="D49" s="292"/>
      <c r="E49" s="292"/>
      <c r="F49" s="246"/>
      <c r="G49" s="292"/>
      <c r="H49" s="292"/>
      <c r="I49" s="292"/>
      <c r="J49" s="292"/>
      <c r="K49" s="292"/>
      <c r="L49" s="290">
        <v>75000000</v>
      </c>
      <c r="M49" s="290">
        <v>234764000</v>
      </c>
      <c r="N49" s="246">
        <f>M49</f>
        <v>234764000</v>
      </c>
      <c r="O49" s="246">
        <v>484764000</v>
      </c>
      <c r="P49" s="246">
        <v>484764000</v>
      </c>
      <c r="Q49" s="246">
        <v>1947764000</v>
      </c>
      <c r="R49" s="246">
        <v>2247764000</v>
      </c>
      <c r="S49" s="840">
        <v>3247764000</v>
      </c>
      <c r="T49" s="246">
        <f t="shared" si="0"/>
        <v>1000000000</v>
      </c>
    </row>
    <row r="50" spans="1:20" ht="24.95" customHeight="1">
      <c r="A50" s="392">
        <v>27608</v>
      </c>
      <c r="B50" s="246" t="s">
        <v>1214</v>
      </c>
      <c r="C50" s="292"/>
      <c r="D50" s="292"/>
      <c r="E50" s="292"/>
      <c r="F50" s="246"/>
      <c r="G50" s="292"/>
      <c r="H50" s="292"/>
      <c r="I50" s="292"/>
      <c r="J50" s="292"/>
      <c r="K50" s="292"/>
      <c r="L50" s="290"/>
      <c r="M50" s="290"/>
      <c r="N50" s="246"/>
      <c r="O50" s="246"/>
      <c r="P50" s="246">
        <v>240000000</v>
      </c>
      <c r="Q50" s="246">
        <v>240000000</v>
      </c>
      <c r="R50" s="246">
        <v>90000000</v>
      </c>
      <c r="S50" s="840">
        <v>90000000</v>
      </c>
      <c r="T50" s="246">
        <f t="shared" si="0"/>
        <v>0</v>
      </c>
    </row>
    <row r="51" spans="1:20" ht="24.95" customHeight="1">
      <c r="A51" s="392"/>
      <c r="B51" s="246" t="s">
        <v>92</v>
      </c>
      <c r="C51" s="292"/>
      <c r="D51" s="292"/>
      <c r="E51" s="292"/>
      <c r="F51" s="246"/>
      <c r="G51" s="292"/>
      <c r="H51" s="292"/>
      <c r="I51" s="292"/>
      <c r="J51" s="292"/>
      <c r="K51" s="292"/>
      <c r="L51" s="291">
        <f>SUM(L46:L49)</f>
        <v>137136000</v>
      </c>
      <c r="M51" s="291">
        <f>SUM(M46:M49)</f>
        <v>427014000</v>
      </c>
      <c r="N51" s="280">
        <f>SUM(N46:N49)</f>
        <v>234764000</v>
      </c>
      <c r="O51" s="280">
        <f>SUM(O46:O49)</f>
        <v>622764000</v>
      </c>
      <c r="P51" s="280">
        <f>SUM(P46:P50)</f>
        <v>844764000</v>
      </c>
      <c r="Q51" s="280">
        <f>SUM(Q46:Q50)</f>
        <v>2235764000</v>
      </c>
      <c r="R51" s="280">
        <f>SUM(R46:R50)</f>
        <v>2637764000</v>
      </c>
      <c r="S51" s="851">
        <f>SUM(S46:S50)</f>
        <v>3477764000</v>
      </c>
      <c r="T51" s="280">
        <f t="shared" si="0"/>
        <v>840000000</v>
      </c>
    </row>
    <row r="52" spans="1:20" ht="24.95" customHeight="1">
      <c r="A52" s="476">
        <v>2720</v>
      </c>
      <c r="B52" s="280" t="s">
        <v>129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74"/>
      <c r="M52" s="274"/>
      <c r="N52" s="246"/>
      <c r="O52" s="246"/>
      <c r="P52" s="246"/>
      <c r="Q52" s="246"/>
      <c r="R52" s="246"/>
      <c r="S52" s="840"/>
      <c r="T52" s="246">
        <f t="shared" si="0"/>
        <v>0</v>
      </c>
    </row>
    <row r="53" spans="1:20" ht="24.95" customHeight="1">
      <c r="A53" s="392">
        <v>27202</v>
      </c>
      <c r="B53" s="246" t="s">
        <v>1213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74">
        <v>0</v>
      </c>
      <c r="M53" s="274">
        <v>358688000</v>
      </c>
      <c r="N53" s="246">
        <v>330703860</v>
      </c>
      <c r="O53" s="246">
        <v>0</v>
      </c>
      <c r="P53" s="246">
        <v>400000000</v>
      </c>
      <c r="Q53" s="246">
        <v>100000000</v>
      </c>
      <c r="R53" s="246">
        <v>900000000</v>
      </c>
      <c r="S53" s="840">
        <v>0</v>
      </c>
      <c r="T53" s="246">
        <f t="shared" si="0"/>
        <v>-900000000</v>
      </c>
    </row>
    <row r="54" spans="1:20" ht="24.95" customHeight="1">
      <c r="A54" s="392">
        <v>27209</v>
      </c>
      <c r="B54" s="246" t="s">
        <v>914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74"/>
      <c r="M54" s="274"/>
      <c r="N54" s="246"/>
      <c r="O54" s="246">
        <v>0</v>
      </c>
      <c r="P54" s="246">
        <v>400000000</v>
      </c>
      <c r="Q54" s="246">
        <v>0</v>
      </c>
      <c r="R54" s="246">
        <v>400000000</v>
      </c>
      <c r="S54" s="840">
        <v>0</v>
      </c>
      <c r="T54" s="246">
        <f t="shared" si="0"/>
        <v>-400000000</v>
      </c>
    </row>
    <row r="55" spans="1:20" ht="24.95" customHeight="1">
      <c r="A55" s="392"/>
      <c r="B55" s="280" t="s">
        <v>92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79">
        <f>SUM(L53)</f>
        <v>0</v>
      </c>
      <c r="M55" s="279">
        <f>SUM(M53)</f>
        <v>358688000</v>
      </c>
      <c r="N55" s="280">
        <f>SUM(N53)</f>
        <v>330703860</v>
      </c>
      <c r="O55" s="280">
        <f>SUM(O53)</f>
        <v>0</v>
      </c>
      <c r="P55" s="280">
        <f>SUM(P53:P54)</f>
        <v>800000000</v>
      </c>
      <c r="Q55" s="280">
        <f>SUM(Q53:Q54)</f>
        <v>100000000</v>
      </c>
      <c r="R55" s="280">
        <f>SUM(R53:R54)</f>
        <v>1300000000</v>
      </c>
      <c r="S55" s="851">
        <f>SUM(S53:S54)</f>
        <v>0</v>
      </c>
      <c r="T55" s="246">
        <f t="shared" si="0"/>
        <v>-1300000000</v>
      </c>
    </row>
    <row r="56" spans="1:20" ht="24.95" customHeight="1">
      <c r="A56" s="558">
        <v>2630</v>
      </c>
      <c r="B56" s="521" t="s">
        <v>426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840"/>
      <c r="T56" s="246">
        <f t="shared" si="0"/>
        <v>0</v>
      </c>
    </row>
    <row r="57" spans="1:20" ht="24.95" customHeight="1">
      <c r="A57" s="392">
        <v>26311</v>
      </c>
      <c r="B57" s="246" t="s">
        <v>1257</v>
      </c>
      <c r="C57" s="280"/>
      <c r="D57" s="280"/>
      <c r="E57" s="280"/>
      <c r="F57" s="280"/>
      <c r="G57" s="280"/>
      <c r="H57" s="280"/>
      <c r="I57" s="280"/>
      <c r="J57" s="280"/>
      <c r="K57" s="246"/>
      <c r="L57" s="246">
        <v>17800000</v>
      </c>
      <c r="M57" s="246">
        <f>1511608000*70%-150000000-50000000</f>
        <v>858125599.99999988</v>
      </c>
      <c r="N57" s="246">
        <v>998125600</v>
      </c>
      <c r="O57" s="246">
        <v>1298125600</v>
      </c>
      <c r="P57" s="246">
        <v>1298125600</v>
      </c>
      <c r="Q57" s="246">
        <v>1298125600</v>
      </c>
      <c r="R57" s="246">
        <v>2094725600</v>
      </c>
      <c r="S57" s="840">
        <f>R57</f>
        <v>2094725600</v>
      </c>
      <c r="T57" s="246">
        <f t="shared" si="0"/>
        <v>0</v>
      </c>
    </row>
    <row r="58" spans="1:20" ht="24.95" customHeight="1">
      <c r="A58" s="476"/>
      <c r="B58" s="280" t="s">
        <v>92</v>
      </c>
      <c r="C58" s="280"/>
      <c r="D58" s="280"/>
      <c r="E58" s="280"/>
      <c r="F58" s="280"/>
      <c r="G58" s="280"/>
      <c r="H58" s="280"/>
      <c r="I58" s="280"/>
      <c r="J58" s="280"/>
      <c r="K58" s="246"/>
      <c r="L58" s="280">
        <f t="shared" ref="L58:P58" si="2">SUM(L57)</f>
        <v>17800000</v>
      </c>
      <c r="M58" s="280">
        <f t="shared" si="2"/>
        <v>858125599.99999988</v>
      </c>
      <c r="N58" s="280">
        <f t="shared" si="2"/>
        <v>998125600</v>
      </c>
      <c r="O58" s="280">
        <f t="shared" si="2"/>
        <v>1298125600</v>
      </c>
      <c r="P58" s="280">
        <f t="shared" si="2"/>
        <v>1298125600</v>
      </c>
      <c r="Q58" s="280">
        <f>SUM(Q57)</f>
        <v>1298125600</v>
      </c>
      <c r="R58" s="280">
        <f>SUM(R57)</f>
        <v>2094725600</v>
      </c>
      <c r="S58" s="851">
        <f>SUM(S57)</f>
        <v>2094725600</v>
      </c>
      <c r="T58" s="280">
        <f t="shared" si="0"/>
        <v>0</v>
      </c>
    </row>
    <row r="59" spans="1:20" ht="24.95" customHeight="1">
      <c r="A59" s="392"/>
      <c r="B59" s="280" t="s">
        <v>37</v>
      </c>
      <c r="C59" s="292"/>
      <c r="D59" s="292"/>
      <c r="E59" s="292"/>
      <c r="F59" s="246"/>
      <c r="G59" s="292"/>
      <c r="H59" s="292"/>
      <c r="I59" s="292"/>
      <c r="J59" s="292"/>
      <c r="K59" s="292"/>
      <c r="L59" s="279">
        <f>L58+L51+L55+L43+L39+L30+L11</f>
        <v>2589670000</v>
      </c>
      <c r="M59" s="279">
        <f>M58+M51+M55+M43+M39+M30+M11</f>
        <v>4743921600</v>
      </c>
      <c r="N59" s="280">
        <f>N58+N51+N55+N43+N39+N30+N11</f>
        <v>4765889860</v>
      </c>
      <c r="O59" s="280">
        <f>O58+O51+O43+O39+O30+O11+O55</f>
        <v>7258657600</v>
      </c>
      <c r="P59" s="280">
        <f>P58+P51+P43+P39+P30+P11+P55</f>
        <v>9646166400</v>
      </c>
      <c r="Q59" s="280">
        <f>Q58+Q51+Q43+Q39+Q30+Q11+Q55</f>
        <v>25067457952</v>
      </c>
      <c r="R59" s="280">
        <f>R58+R51+R43+R39+R30+R11+R55</f>
        <v>27921252192</v>
      </c>
      <c r="S59" s="851">
        <f>S58+S51+S43+S39+S30+S11+S55</f>
        <v>38348048976</v>
      </c>
      <c r="T59" s="280">
        <f t="shared" si="0"/>
        <v>10426796784</v>
      </c>
    </row>
    <row r="60" spans="1:20" ht="24.95" customHeight="1">
      <c r="A60" s="496"/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559"/>
      <c r="O60" s="559"/>
      <c r="P60" s="559"/>
      <c r="Q60" s="559"/>
      <c r="R60" s="559"/>
      <c r="S60" s="875"/>
      <c r="T60" s="559"/>
    </row>
    <row r="63" spans="1:20" ht="24.95" customHeight="1">
      <c r="L63" s="560"/>
    </row>
  </sheetData>
  <pageMargins left="0.7" right="0.25" top="0.51" bottom="0.24" header="0.17" footer="0.17"/>
  <pageSetup scale="50" orientation="portrait" r:id="rId1"/>
  <headerFooter>
    <oddHeader>&amp;C&amp;"Algerian,Bold"&amp;36WASAARADdA WARFAAFINTA IYO WACYIGALINTA</oddHeader>
    <oddFooter>&amp;R&amp;"Times New Roman,Bold"&amp;12 27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view="pageBreakPreview" topLeftCell="A34" zoomScale="60" workbookViewId="0">
      <selection activeCell="S46" sqref="S46"/>
    </sheetView>
  </sheetViews>
  <sheetFormatPr defaultRowHeight="12.75"/>
  <cols>
    <col min="1" max="1" width="16.83203125" style="565" bestFit="1" customWidth="1"/>
    <col min="2" max="2" width="79.6640625" style="399" customWidth="1"/>
    <col min="3" max="11" width="0" style="399" hidden="1" customWidth="1"/>
    <col min="12" max="13" width="27.33203125" style="399" hidden="1" customWidth="1"/>
    <col min="14" max="14" width="35.33203125" style="399" hidden="1" customWidth="1"/>
    <col min="15" max="15" width="0.1640625" style="399" hidden="1" customWidth="1"/>
    <col min="16" max="17" width="31" style="399" hidden="1" customWidth="1"/>
    <col min="18" max="18" width="28.83203125" style="399" bestFit="1" customWidth="1"/>
    <col min="19" max="19" width="28.83203125" style="399" customWidth="1"/>
    <col min="20" max="20" width="31" style="399" customWidth="1"/>
    <col min="21" max="16384" width="9.33203125" style="399"/>
  </cols>
  <sheetData>
    <row r="1" spans="1:20" ht="26.45" customHeight="1">
      <c r="A1" s="544" t="s">
        <v>40</v>
      </c>
      <c r="B1" s="400" t="s">
        <v>1001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562"/>
      <c r="S1" s="562"/>
      <c r="T1" s="274"/>
    </row>
    <row r="2" spans="1:20" ht="26.45" customHeight="1">
      <c r="A2" s="476">
        <v>210</v>
      </c>
      <c r="B2" s="280" t="s">
        <v>137</v>
      </c>
      <c r="C2" s="279" t="s">
        <v>38</v>
      </c>
      <c r="D2" s="562" t="s">
        <v>2</v>
      </c>
      <c r="E2" s="562" t="s">
        <v>43</v>
      </c>
      <c r="F2" s="562" t="s">
        <v>46</v>
      </c>
      <c r="G2" s="562" t="s">
        <v>55</v>
      </c>
      <c r="H2" s="562" t="s">
        <v>62</v>
      </c>
      <c r="I2" s="562" t="s">
        <v>110</v>
      </c>
      <c r="J2" s="562" t="s">
        <v>109</v>
      </c>
      <c r="K2" s="562" t="s">
        <v>117</v>
      </c>
      <c r="L2" s="562" t="s">
        <v>151</v>
      </c>
      <c r="M2" s="562" t="s">
        <v>276</v>
      </c>
      <c r="N2" s="562" t="s">
        <v>442</v>
      </c>
      <c r="O2" s="562" t="s">
        <v>814</v>
      </c>
      <c r="P2" s="562" t="s">
        <v>874</v>
      </c>
      <c r="Q2" s="562" t="s">
        <v>973</v>
      </c>
      <c r="R2" s="562" t="s">
        <v>1160</v>
      </c>
      <c r="S2" s="562" t="s">
        <v>1320</v>
      </c>
      <c r="T2" s="562" t="s">
        <v>56</v>
      </c>
    </row>
    <row r="3" spans="1:20" ht="26.45" customHeight="1">
      <c r="A3" s="476">
        <v>2110</v>
      </c>
      <c r="B3" s="280" t="s">
        <v>213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26.45" customHeight="1">
      <c r="A4" s="392">
        <v>21101</v>
      </c>
      <c r="B4" s="246" t="s">
        <v>28</v>
      </c>
      <c r="C4" s="246">
        <v>81679000</v>
      </c>
      <c r="D4" s="246">
        <v>60243000</v>
      </c>
      <c r="E4" s="246">
        <v>56880000</v>
      </c>
      <c r="F4" s="246">
        <v>52968000</v>
      </c>
      <c r="G4" s="246">
        <v>61800000</v>
      </c>
      <c r="H4" s="246">
        <f>SUM(12720000,61800000)</f>
        <v>74520000</v>
      </c>
      <c r="I4" s="246">
        <v>96876000</v>
      </c>
      <c r="J4" s="246">
        <f>96876000+4149600+54000000+6000000</f>
        <v>161025600</v>
      </c>
      <c r="K4" s="246">
        <v>8504548800</v>
      </c>
      <c r="L4" s="246">
        <v>8504548800</v>
      </c>
      <c r="M4" s="246">
        <f>shaqaalaha2011!H26+16663046400+3744000+36000000</f>
        <v>16840944000</v>
      </c>
      <c r="N4" s="246">
        <v>189009600</v>
      </c>
      <c r="O4" s="246">
        <v>206668800</v>
      </c>
      <c r="P4" s="246">
        <v>279227520</v>
      </c>
      <c r="Q4" s="246">
        <v>293679360</v>
      </c>
      <c r="R4" s="246">
        <v>360135360</v>
      </c>
      <c r="S4" s="246">
        <v>445857984</v>
      </c>
      <c r="T4" s="246">
        <f>S4-R4</f>
        <v>85722624</v>
      </c>
    </row>
    <row r="5" spans="1:20" ht="26.45" customHeight="1">
      <c r="A5" s="392">
        <v>21102</v>
      </c>
      <c r="B5" s="246" t="s">
        <v>554</v>
      </c>
      <c r="C5" s="246"/>
      <c r="D5" s="246"/>
      <c r="E5" s="246"/>
      <c r="F5" s="246"/>
      <c r="G5" s="246">
        <v>6176304000</v>
      </c>
      <c r="H5" s="246">
        <f>SUM(6176304000,137088000)</f>
        <v>6313392000</v>
      </c>
      <c r="I5" s="246">
        <v>8207409600</v>
      </c>
      <c r="J5" s="246">
        <v>8283787200</v>
      </c>
      <c r="K5" s="246">
        <v>0</v>
      </c>
      <c r="L5" s="246">
        <v>0</v>
      </c>
      <c r="M5" s="246">
        <v>0</v>
      </c>
      <c r="N5" s="246">
        <v>97200000</v>
      </c>
      <c r="O5" s="246">
        <v>97200000</v>
      </c>
      <c r="P5" s="246">
        <v>194400000</v>
      </c>
      <c r="Q5" s="246">
        <v>194400000</v>
      </c>
      <c r="R5" s="246">
        <v>194400000</v>
      </c>
      <c r="S5" s="246">
        <v>194400000</v>
      </c>
      <c r="T5" s="246">
        <f t="shared" ref="T5:T46" si="0">S5-R5</f>
        <v>0</v>
      </c>
    </row>
    <row r="6" spans="1:20" ht="26.45" customHeight="1">
      <c r="A6" s="392">
        <v>21103</v>
      </c>
      <c r="B6" s="246" t="s">
        <v>30</v>
      </c>
      <c r="C6" s="246">
        <v>1383000</v>
      </c>
      <c r="D6" s="246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470552956</v>
      </c>
      <c r="L6" s="246">
        <f>470552956+44304000+3600000</f>
        <v>518456956</v>
      </c>
      <c r="M6" s="246">
        <f>470552956+44304000+3600000</f>
        <v>518456956</v>
      </c>
      <c r="N6" s="246">
        <v>547256956</v>
      </c>
      <c r="O6" s="246">
        <v>697824000</v>
      </c>
      <c r="P6" s="246">
        <v>834624000</v>
      </c>
      <c r="Q6" s="246">
        <v>834624000</v>
      </c>
      <c r="R6" s="246">
        <v>834624000</v>
      </c>
      <c r="S6" s="840">
        <v>1102140000</v>
      </c>
      <c r="T6" s="246">
        <f t="shared" si="0"/>
        <v>267516000</v>
      </c>
    </row>
    <row r="7" spans="1:20" ht="26.45" customHeight="1">
      <c r="A7" s="392">
        <v>21105</v>
      </c>
      <c r="B7" s="246" t="s">
        <v>526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>
        <v>0</v>
      </c>
      <c r="N7" s="246">
        <v>0</v>
      </c>
      <c r="O7" s="246">
        <v>18000000</v>
      </c>
      <c r="P7" s="246">
        <v>18000000</v>
      </c>
      <c r="Q7" s="246">
        <v>18000000</v>
      </c>
      <c r="R7" s="246">
        <v>18000000</v>
      </c>
      <c r="S7" s="840">
        <v>74400000</v>
      </c>
      <c r="T7" s="246">
        <f t="shared" si="0"/>
        <v>56400000</v>
      </c>
    </row>
    <row r="8" spans="1:20" ht="26.45" customHeight="1">
      <c r="A8" s="476">
        <v>2120</v>
      </c>
      <c r="B8" s="280" t="s">
        <v>218</v>
      </c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840">
        <v>0</v>
      </c>
      <c r="T8" s="246">
        <f t="shared" si="0"/>
        <v>0</v>
      </c>
    </row>
    <row r="9" spans="1:20" ht="26.45" customHeight="1">
      <c r="A9" s="392">
        <v>21202</v>
      </c>
      <c r="B9" s="246" t="s">
        <v>478</v>
      </c>
      <c r="C9" s="246"/>
      <c r="D9" s="246"/>
      <c r="E9" s="246"/>
      <c r="F9" s="246"/>
      <c r="G9" s="246"/>
      <c r="H9" s="246"/>
      <c r="I9" s="246"/>
      <c r="J9" s="246"/>
      <c r="K9" s="246"/>
      <c r="L9" s="246">
        <v>0</v>
      </c>
      <c r="M9" s="246">
        <f>6357000+5878600</f>
        <v>12235600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840">
        <v>0</v>
      </c>
      <c r="T9" s="246">
        <f t="shared" si="0"/>
        <v>0</v>
      </c>
    </row>
    <row r="10" spans="1:20" ht="26.45" customHeight="1">
      <c r="A10" s="392"/>
      <c r="B10" s="280" t="s">
        <v>92</v>
      </c>
      <c r="C10" s="246">
        <v>35640000</v>
      </c>
      <c r="D10" s="246">
        <v>46700000</v>
      </c>
      <c r="E10" s="246">
        <v>46700000</v>
      </c>
      <c r="F10" s="246">
        <v>46700000</v>
      </c>
      <c r="G10" s="246">
        <v>75024000</v>
      </c>
      <c r="H10" s="246">
        <v>93780000</v>
      </c>
      <c r="I10" s="246">
        <v>93780000</v>
      </c>
      <c r="J10" s="246">
        <v>150000000</v>
      </c>
      <c r="K10" s="246">
        <v>14764915</v>
      </c>
      <c r="L10" s="280">
        <f t="shared" ref="L10:P10" si="1">SUM(L4:L9)</f>
        <v>9023005756</v>
      </c>
      <c r="M10" s="280">
        <f t="shared" si="1"/>
        <v>17371636556</v>
      </c>
      <c r="N10" s="280">
        <f t="shared" si="1"/>
        <v>833466556</v>
      </c>
      <c r="O10" s="280">
        <f t="shared" si="1"/>
        <v>1019692800</v>
      </c>
      <c r="P10" s="280">
        <f t="shared" si="1"/>
        <v>1326251520</v>
      </c>
      <c r="Q10" s="280">
        <f>SUM(Q4:Q9)</f>
        <v>1340703360</v>
      </c>
      <c r="R10" s="280">
        <f>SUM(R4:R9)</f>
        <v>1407159360</v>
      </c>
      <c r="S10" s="851">
        <f>SUM(S4:S9)</f>
        <v>1816797984</v>
      </c>
      <c r="T10" s="280">
        <f t="shared" si="0"/>
        <v>409638624</v>
      </c>
    </row>
    <row r="11" spans="1:20" ht="26.45" customHeight="1">
      <c r="A11" s="476">
        <v>220</v>
      </c>
      <c r="B11" s="280" t="s">
        <v>225</v>
      </c>
      <c r="C11" s="246"/>
      <c r="D11" s="246"/>
      <c r="E11" s="246"/>
      <c r="F11" s="246"/>
      <c r="G11" s="246">
        <v>30600000</v>
      </c>
      <c r="H11" s="246">
        <v>30600000</v>
      </c>
      <c r="I11" s="246">
        <v>27349056</v>
      </c>
      <c r="J11" s="246">
        <v>27349056</v>
      </c>
      <c r="K11" s="246">
        <v>0</v>
      </c>
      <c r="L11" s="246"/>
      <c r="M11" s="246"/>
      <c r="N11" s="246"/>
      <c r="O11" s="246"/>
      <c r="P11" s="246"/>
      <c r="Q11" s="246"/>
      <c r="R11" s="246"/>
      <c r="S11" s="840"/>
      <c r="T11" s="246">
        <f t="shared" si="0"/>
        <v>0</v>
      </c>
    </row>
    <row r="12" spans="1:20" ht="26.45" customHeight="1">
      <c r="A12" s="476">
        <v>2210</v>
      </c>
      <c r="B12" s="280" t="s">
        <v>226</v>
      </c>
      <c r="C12" s="246"/>
      <c r="D12" s="246"/>
      <c r="E12" s="246"/>
      <c r="F12" s="246"/>
      <c r="G12" s="246"/>
      <c r="H12" s="246"/>
      <c r="I12" s="246"/>
      <c r="J12" s="246"/>
      <c r="K12" s="246">
        <v>3724000</v>
      </c>
      <c r="L12" s="246"/>
      <c r="M12" s="246"/>
      <c r="N12" s="246"/>
      <c r="O12" s="246"/>
      <c r="P12" s="246"/>
      <c r="Q12" s="246"/>
      <c r="R12" s="246"/>
      <c r="S12" s="840"/>
      <c r="T12" s="246">
        <f t="shared" si="0"/>
        <v>0</v>
      </c>
    </row>
    <row r="13" spans="1:20" ht="26.45" customHeight="1">
      <c r="A13" s="392">
        <v>22101</v>
      </c>
      <c r="B13" s="246" t="s">
        <v>33</v>
      </c>
      <c r="C13" s="246">
        <v>7546500</v>
      </c>
      <c r="D13" s="246">
        <v>4440000</v>
      </c>
      <c r="E13" s="246">
        <v>4440000</v>
      </c>
      <c r="F13" s="246">
        <v>4440000</v>
      </c>
      <c r="G13" s="246">
        <v>4800000</v>
      </c>
      <c r="H13" s="246">
        <v>6000000</v>
      </c>
      <c r="I13" s="246">
        <v>7448000</v>
      </c>
      <c r="J13" s="246">
        <v>15000000</v>
      </c>
      <c r="K13" s="246">
        <v>3724000</v>
      </c>
      <c r="L13" s="246">
        <v>14896000</v>
      </c>
      <c r="M13" s="246">
        <f>14896000*70%</f>
        <v>10427200</v>
      </c>
      <c r="N13" s="246">
        <f>14896000*70%</f>
        <v>10427200</v>
      </c>
      <c r="O13" s="246">
        <f>14896000*70%</f>
        <v>10427200</v>
      </c>
      <c r="P13" s="246">
        <v>20427200</v>
      </c>
      <c r="Q13" s="246">
        <v>20427200</v>
      </c>
      <c r="R13" s="246">
        <v>20427200</v>
      </c>
      <c r="S13" s="840">
        <v>20427200</v>
      </c>
      <c r="T13" s="246">
        <f t="shared" si="0"/>
        <v>0</v>
      </c>
    </row>
    <row r="14" spans="1:20" ht="26.45" customHeight="1">
      <c r="A14" s="392">
        <v>22104</v>
      </c>
      <c r="B14" s="246" t="s">
        <v>157</v>
      </c>
      <c r="C14" s="246">
        <v>3325000</v>
      </c>
      <c r="D14" s="246">
        <v>1560000</v>
      </c>
      <c r="E14" s="246">
        <v>1560000</v>
      </c>
      <c r="F14" s="246">
        <v>3560000</v>
      </c>
      <c r="G14" s="246">
        <v>3840000</v>
      </c>
      <c r="H14" s="246">
        <v>4800000</v>
      </c>
      <c r="I14" s="246">
        <v>7448000</v>
      </c>
      <c r="J14" s="246">
        <v>12000000</v>
      </c>
      <c r="K14" s="246">
        <v>2681280</v>
      </c>
      <c r="L14" s="246">
        <v>45000000</v>
      </c>
      <c r="M14" s="246">
        <f>L14*70%</f>
        <v>31499999.999999996</v>
      </c>
      <c r="N14" s="246">
        <v>40500000</v>
      </c>
      <c r="O14" s="246">
        <v>40500000</v>
      </c>
      <c r="P14" s="246">
        <v>45500000</v>
      </c>
      <c r="Q14" s="246">
        <v>50500000</v>
      </c>
      <c r="R14" s="246">
        <v>50500000</v>
      </c>
      <c r="S14" s="840">
        <v>75500000</v>
      </c>
      <c r="T14" s="246">
        <f t="shared" si="0"/>
        <v>25000000</v>
      </c>
    </row>
    <row r="15" spans="1:20" ht="26.45" customHeight="1">
      <c r="A15" s="392">
        <v>22106</v>
      </c>
      <c r="B15" s="246" t="s">
        <v>126</v>
      </c>
      <c r="C15" s="246"/>
      <c r="D15" s="246"/>
      <c r="E15" s="246"/>
      <c r="F15" s="246"/>
      <c r="G15" s="246"/>
      <c r="H15" s="246"/>
      <c r="I15" s="246"/>
      <c r="J15" s="246"/>
      <c r="K15" s="246">
        <v>2979200</v>
      </c>
      <c r="L15" s="246">
        <v>3724000</v>
      </c>
      <c r="M15" s="246">
        <f>22924000*70%</f>
        <v>16046799.999999998</v>
      </c>
      <c r="N15" s="246">
        <v>0</v>
      </c>
      <c r="O15" s="246">
        <v>0</v>
      </c>
      <c r="P15" s="246">
        <v>6000000</v>
      </c>
      <c r="Q15" s="246">
        <v>6000000</v>
      </c>
      <c r="R15" s="246">
        <v>6000000</v>
      </c>
      <c r="S15" s="840">
        <v>6000000</v>
      </c>
      <c r="T15" s="246">
        <f t="shared" si="0"/>
        <v>0</v>
      </c>
    </row>
    <row r="16" spans="1:20" ht="26.45" customHeight="1">
      <c r="A16" s="392">
        <v>22107</v>
      </c>
      <c r="B16" s="246" t="s">
        <v>48</v>
      </c>
      <c r="C16" s="246">
        <v>10663000</v>
      </c>
      <c r="D16" s="246">
        <v>15000000</v>
      </c>
      <c r="E16" s="246">
        <v>0</v>
      </c>
      <c r="F16" s="246">
        <v>0</v>
      </c>
      <c r="G16" s="246">
        <f>2400000+30000000</f>
        <v>32400000</v>
      </c>
      <c r="H16" s="246">
        <v>32400000</v>
      </c>
      <c r="I16" s="246">
        <v>24131520</v>
      </c>
      <c r="J16" s="246">
        <v>40000000</v>
      </c>
      <c r="K16" s="246">
        <v>24131520</v>
      </c>
      <c r="L16" s="246">
        <v>30000000</v>
      </c>
      <c r="M16" s="246">
        <f>30000000*70%</f>
        <v>21000000</v>
      </c>
      <c r="N16" s="246">
        <f>M16*70%</f>
        <v>14699999.999999998</v>
      </c>
      <c r="O16" s="246">
        <v>24700000</v>
      </c>
      <c r="P16" s="246">
        <v>24700000</v>
      </c>
      <c r="Q16" s="246">
        <v>24700000</v>
      </c>
      <c r="R16" s="246">
        <v>24700000</v>
      </c>
      <c r="S16" s="840">
        <v>24700000</v>
      </c>
      <c r="T16" s="246">
        <f t="shared" si="0"/>
        <v>0</v>
      </c>
    </row>
    <row r="17" spans="1:20" ht="26.45" customHeight="1">
      <c r="A17" s="392">
        <v>22108</v>
      </c>
      <c r="B17" s="246" t="s">
        <v>93</v>
      </c>
      <c r="C17" s="246"/>
      <c r="D17" s="246"/>
      <c r="E17" s="246"/>
      <c r="F17" s="246"/>
      <c r="G17" s="246"/>
      <c r="H17" s="246"/>
      <c r="I17" s="246"/>
      <c r="J17" s="246"/>
      <c r="K17" s="246">
        <v>450000000</v>
      </c>
      <c r="L17" s="246">
        <v>100000000</v>
      </c>
      <c r="M17" s="246">
        <f>100000000*70%</f>
        <v>70000000</v>
      </c>
      <c r="N17" s="246">
        <f>M17</f>
        <v>70000000</v>
      </c>
      <c r="O17" s="246">
        <v>88840000</v>
      </c>
      <c r="P17" s="246">
        <v>88840000</v>
      </c>
      <c r="Q17" s="246">
        <v>88840000</v>
      </c>
      <c r="R17" s="246">
        <v>88840000</v>
      </c>
      <c r="S17" s="840">
        <v>133840000</v>
      </c>
      <c r="T17" s="246">
        <f t="shared" si="0"/>
        <v>45000000</v>
      </c>
    </row>
    <row r="18" spans="1:20" ht="26.45" customHeight="1">
      <c r="A18" s="392">
        <v>22109</v>
      </c>
      <c r="B18" s="246" t="s">
        <v>136</v>
      </c>
      <c r="C18" s="246">
        <v>3753000</v>
      </c>
      <c r="D18" s="246">
        <v>3753000</v>
      </c>
      <c r="E18" s="246">
        <v>0</v>
      </c>
      <c r="F18" s="246">
        <f>SUM(F16:F16)</f>
        <v>0</v>
      </c>
      <c r="G18" s="246">
        <v>0</v>
      </c>
      <c r="H18" s="246">
        <v>0</v>
      </c>
      <c r="I18" s="246">
        <v>0</v>
      </c>
      <c r="J18" s="246">
        <v>0</v>
      </c>
      <c r="K18" s="280">
        <f>SUM(K10:K17)</f>
        <v>502004915</v>
      </c>
      <c r="L18" s="246">
        <v>9000000</v>
      </c>
      <c r="M18" s="246">
        <f>9000000*70%</f>
        <v>6300000</v>
      </c>
      <c r="N18" s="246">
        <f>9000000*70%</f>
        <v>6300000</v>
      </c>
      <c r="O18" s="246">
        <f>9000000*70%</f>
        <v>6300000</v>
      </c>
      <c r="P18" s="246">
        <v>10300000</v>
      </c>
      <c r="Q18" s="246">
        <v>10300000</v>
      </c>
      <c r="R18" s="246">
        <v>10300000</v>
      </c>
      <c r="S18" s="840">
        <v>21300000</v>
      </c>
      <c r="T18" s="246">
        <f t="shared" si="0"/>
        <v>11000000</v>
      </c>
    </row>
    <row r="19" spans="1:20" ht="26.45" customHeight="1">
      <c r="A19" s="392">
        <v>22112</v>
      </c>
      <c r="B19" s="246" t="s">
        <v>35</v>
      </c>
      <c r="C19" s="280">
        <f t="shared" ref="C19:J19" si="2">SUM(C10:C18)</f>
        <v>60927500</v>
      </c>
      <c r="D19" s="280">
        <f t="shared" si="2"/>
        <v>71453000</v>
      </c>
      <c r="E19" s="280">
        <f t="shared" si="2"/>
        <v>52700000</v>
      </c>
      <c r="F19" s="280">
        <f t="shared" si="2"/>
        <v>54700000</v>
      </c>
      <c r="G19" s="280">
        <f t="shared" si="2"/>
        <v>146664000</v>
      </c>
      <c r="H19" s="280">
        <f t="shared" si="2"/>
        <v>167580000</v>
      </c>
      <c r="I19" s="280">
        <f t="shared" si="2"/>
        <v>160156576</v>
      </c>
      <c r="J19" s="280">
        <f t="shared" si="2"/>
        <v>244349056</v>
      </c>
      <c r="K19" s="280"/>
      <c r="L19" s="246">
        <v>6000000</v>
      </c>
      <c r="M19" s="246">
        <f>L19*70%</f>
        <v>4200000</v>
      </c>
      <c r="N19" s="246">
        <v>24200000</v>
      </c>
      <c r="O19" s="246">
        <v>24200000</v>
      </c>
      <c r="P19" s="246">
        <v>24200000</v>
      </c>
      <c r="Q19" s="246">
        <v>24200000</v>
      </c>
      <c r="R19" s="246">
        <v>24200000</v>
      </c>
      <c r="S19" s="840">
        <v>24200000</v>
      </c>
      <c r="T19" s="246">
        <f t="shared" si="0"/>
        <v>0</v>
      </c>
    </row>
    <row r="20" spans="1:20" ht="26.45" customHeight="1">
      <c r="A20" s="392">
        <v>22114</v>
      </c>
      <c r="B20" s="246" t="s">
        <v>277</v>
      </c>
      <c r="C20" s="246"/>
      <c r="D20" s="246">
        <v>0</v>
      </c>
      <c r="E20" s="246">
        <v>0</v>
      </c>
      <c r="F20" s="246">
        <v>0</v>
      </c>
      <c r="G20" s="246"/>
      <c r="H20" s="246"/>
      <c r="I20" s="246"/>
      <c r="J20" s="246"/>
      <c r="K20" s="246">
        <v>0</v>
      </c>
      <c r="L20" s="246">
        <v>120000000</v>
      </c>
      <c r="M20" s="246">
        <f>120000000*70%+36000000</f>
        <v>120000000</v>
      </c>
      <c r="N20" s="246">
        <f>120000000*70%+36000000</f>
        <v>120000000</v>
      </c>
      <c r="O20" s="246">
        <f>120000000*70%+36000000</f>
        <v>120000000</v>
      </c>
      <c r="P20" s="246">
        <v>170000000</v>
      </c>
      <c r="Q20" s="246">
        <v>170000000</v>
      </c>
      <c r="R20" s="246">
        <v>210000000</v>
      </c>
      <c r="S20" s="840">
        <v>210000000</v>
      </c>
      <c r="T20" s="246">
        <f t="shared" si="0"/>
        <v>0</v>
      </c>
    </row>
    <row r="21" spans="1:20" ht="26.45" customHeight="1">
      <c r="A21" s="392">
        <v>22115</v>
      </c>
      <c r="B21" s="246" t="s">
        <v>278</v>
      </c>
      <c r="C21" s="246">
        <v>0</v>
      </c>
      <c r="D21" s="246">
        <v>6000000</v>
      </c>
      <c r="E21" s="246">
        <v>0</v>
      </c>
      <c r="F21" s="246">
        <v>0</v>
      </c>
      <c r="G21" s="246">
        <v>0</v>
      </c>
      <c r="H21" s="246">
        <v>35000000</v>
      </c>
      <c r="I21" s="246">
        <v>0</v>
      </c>
      <c r="J21" s="246">
        <v>15000000</v>
      </c>
      <c r="K21" s="246">
        <f>93780000+27349056</f>
        <v>121129056</v>
      </c>
      <c r="L21" s="246">
        <v>2979200</v>
      </c>
      <c r="M21" s="246">
        <f>2979200*70%</f>
        <v>2085439.9999999998</v>
      </c>
      <c r="N21" s="246">
        <f>2979200*70%</f>
        <v>2085439.9999999998</v>
      </c>
      <c r="O21" s="246">
        <f>2979200*70%</f>
        <v>2085439.9999999998</v>
      </c>
      <c r="P21" s="246">
        <v>4170880</v>
      </c>
      <c r="Q21" s="246">
        <v>4170880</v>
      </c>
      <c r="R21" s="246">
        <v>4170880</v>
      </c>
      <c r="S21" s="840">
        <v>8000000</v>
      </c>
      <c r="T21" s="246">
        <f t="shared" si="0"/>
        <v>3829120</v>
      </c>
    </row>
    <row r="22" spans="1:20" ht="26.45" customHeight="1">
      <c r="A22" s="392">
        <v>22137</v>
      </c>
      <c r="B22" s="246" t="s">
        <v>546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>
        <v>72000000</v>
      </c>
      <c r="S22" s="840">
        <v>72000000</v>
      </c>
      <c r="T22" s="246">
        <f t="shared" si="0"/>
        <v>0</v>
      </c>
    </row>
    <row r="23" spans="1:20" ht="26.45" customHeight="1">
      <c r="A23" s="392"/>
      <c r="B23" s="280" t="s">
        <v>92</v>
      </c>
      <c r="C23" s="246">
        <v>9000000</v>
      </c>
      <c r="D23" s="246">
        <v>9000000</v>
      </c>
      <c r="E23" s="246">
        <v>9000000</v>
      </c>
      <c r="F23" s="246">
        <v>10000000</v>
      </c>
      <c r="G23" s="246">
        <v>8000000</v>
      </c>
      <c r="H23" s="246">
        <v>27000000</v>
      </c>
      <c r="I23" s="246">
        <v>29792000</v>
      </c>
      <c r="J23" s="246">
        <v>40000000</v>
      </c>
      <c r="K23" s="246"/>
      <c r="L23" s="280">
        <f t="shared" ref="L23:R23" si="3">SUM(L13:L22)</f>
        <v>331599200</v>
      </c>
      <c r="M23" s="280">
        <f t="shared" si="3"/>
        <v>281559440</v>
      </c>
      <c r="N23" s="280">
        <f t="shared" si="3"/>
        <v>288212640</v>
      </c>
      <c r="O23" s="280">
        <f t="shared" si="3"/>
        <v>317052640</v>
      </c>
      <c r="P23" s="280">
        <f t="shared" si="3"/>
        <v>394138080</v>
      </c>
      <c r="Q23" s="280">
        <f t="shared" si="3"/>
        <v>399138080</v>
      </c>
      <c r="R23" s="280">
        <f t="shared" si="3"/>
        <v>511138080</v>
      </c>
      <c r="S23" s="851">
        <f t="shared" ref="S23" si="4">SUM(S13:S22)</f>
        <v>595967200</v>
      </c>
      <c r="T23" s="280">
        <f t="shared" si="0"/>
        <v>84829120</v>
      </c>
    </row>
    <row r="24" spans="1:20" ht="26.45" customHeight="1">
      <c r="A24" s="476">
        <v>2220</v>
      </c>
      <c r="B24" s="280" t="s">
        <v>240</v>
      </c>
      <c r="C24" s="246">
        <v>2000000</v>
      </c>
      <c r="D24" s="246">
        <v>2000000</v>
      </c>
      <c r="E24" s="246">
        <v>2000000</v>
      </c>
      <c r="F24" s="246">
        <v>2000000</v>
      </c>
      <c r="G24" s="246">
        <v>1600000</v>
      </c>
      <c r="H24" s="246">
        <v>2000000</v>
      </c>
      <c r="I24" s="246">
        <v>0</v>
      </c>
      <c r="J24" s="246">
        <v>0</v>
      </c>
      <c r="K24" s="246">
        <v>0</v>
      </c>
      <c r="L24" s="246"/>
      <c r="M24" s="246"/>
      <c r="N24" s="246"/>
      <c r="O24" s="246"/>
      <c r="P24" s="246"/>
      <c r="Q24" s="246"/>
      <c r="R24" s="246"/>
      <c r="S24" s="840"/>
      <c r="T24" s="246">
        <f t="shared" si="0"/>
        <v>0</v>
      </c>
    </row>
    <row r="25" spans="1:20" ht="26.45" customHeight="1">
      <c r="A25" s="392">
        <v>22202</v>
      </c>
      <c r="B25" s="246" t="s">
        <v>133</v>
      </c>
      <c r="C25" s="246"/>
      <c r="D25" s="246"/>
      <c r="E25" s="246"/>
      <c r="F25" s="246"/>
      <c r="G25" s="246">
        <v>0</v>
      </c>
      <c r="H25" s="246">
        <v>50000000</v>
      </c>
      <c r="I25" s="246">
        <v>0</v>
      </c>
      <c r="J25" s="246">
        <v>0</v>
      </c>
      <c r="K25" s="246">
        <v>1489600</v>
      </c>
      <c r="L25" s="246">
        <v>300000000</v>
      </c>
      <c r="M25" s="246">
        <f>L25*70%</f>
        <v>210000000</v>
      </c>
      <c r="N25" s="246">
        <f>M25*80%</f>
        <v>168000000</v>
      </c>
      <c r="O25" s="246">
        <f>N25</f>
        <v>168000000</v>
      </c>
      <c r="P25" s="246">
        <v>193644000</v>
      </c>
      <c r="Q25" s="246">
        <v>208644000</v>
      </c>
      <c r="R25" s="246">
        <v>208644000</v>
      </c>
      <c r="S25" s="840">
        <v>308644000</v>
      </c>
      <c r="T25" s="246">
        <f t="shared" si="0"/>
        <v>100000000</v>
      </c>
    </row>
    <row r="26" spans="1:20" ht="26.45" customHeight="1">
      <c r="A26" s="392">
        <v>22203</v>
      </c>
      <c r="B26" s="246" t="s">
        <v>127</v>
      </c>
      <c r="C26" s="280">
        <f>SUM(C23:C24)</f>
        <v>11000000</v>
      </c>
      <c r="D26" s="280">
        <f>SUM(D23:D24)</f>
        <v>11000000</v>
      </c>
      <c r="E26" s="280">
        <f>SUM(E23:E24)</f>
        <v>11000000</v>
      </c>
      <c r="F26" s="280">
        <f>SUM(F23:F24)</f>
        <v>12000000</v>
      </c>
      <c r="G26" s="280">
        <f>SUM(G23:G25)</f>
        <v>9600000</v>
      </c>
      <c r="H26" s="280">
        <f>SUM(H23:H25)</f>
        <v>79000000</v>
      </c>
      <c r="I26" s="280">
        <f>SUM(I23:I25)</f>
        <v>29792000</v>
      </c>
      <c r="J26" s="280">
        <f>SUM(J23:J25)</f>
        <v>40000000</v>
      </c>
      <c r="K26" s="246">
        <v>0</v>
      </c>
      <c r="L26" s="246">
        <v>14654271</v>
      </c>
      <c r="M26" s="246">
        <f>14654271*70%</f>
        <v>10257989.699999999</v>
      </c>
      <c r="N26" s="246">
        <v>10257989.699999999</v>
      </c>
      <c r="O26" s="246">
        <f>14654271*70%</f>
        <v>10257989.699999999</v>
      </c>
      <c r="P26" s="246">
        <v>15257990</v>
      </c>
      <c r="Q26" s="246">
        <v>20257990</v>
      </c>
      <c r="R26" s="246">
        <v>20257990</v>
      </c>
      <c r="S26" s="840">
        <v>20257990</v>
      </c>
      <c r="T26" s="246">
        <f t="shared" si="0"/>
        <v>0</v>
      </c>
    </row>
    <row r="27" spans="1:20" ht="26.45" customHeight="1">
      <c r="A27" s="392">
        <v>22204</v>
      </c>
      <c r="B27" s="246" t="s">
        <v>128</v>
      </c>
      <c r="C27" s="246"/>
      <c r="D27" s="246"/>
      <c r="E27" s="246"/>
      <c r="F27" s="246"/>
      <c r="G27" s="246"/>
      <c r="H27" s="246"/>
      <c r="I27" s="246"/>
      <c r="J27" s="246"/>
      <c r="K27" s="280">
        <f>SUM(K24:K26)</f>
        <v>1489600</v>
      </c>
      <c r="L27" s="246">
        <v>7448000</v>
      </c>
      <c r="M27" s="246">
        <f t="shared" ref="M27:R27" si="5">7448000*70%</f>
        <v>5213600</v>
      </c>
      <c r="N27" s="246">
        <f t="shared" si="5"/>
        <v>5213600</v>
      </c>
      <c r="O27" s="246">
        <f t="shared" si="5"/>
        <v>5213600</v>
      </c>
      <c r="P27" s="246">
        <f t="shared" si="5"/>
        <v>5213600</v>
      </c>
      <c r="Q27" s="246">
        <f t="shared" si="5"/>
        <v>5213600</v>
      </c>
      <c r="R27" s="246">
        <f t="shared" si="5"/>
        <v>5213600</v>
      </c>
      <c r="S27" s="840">
        <v>10000000</v>
      </c>
      <c r="T27" s="246">
        <f t="shared" si="0"/>
        <v>4786400</v>
      </c>
    </row>
    <row r="28" spans="1:20" ht="26.45" customHeight="1">
      <c r="A28" s="392">
        <v>22208</v>
      </c>
      <c r="B28" s="246" t="s">
        <v>279</v>
      </c>
      <c r="C28" s="246"/>
      <c r="D28" s="246"/>
      <c r="E28" s="246"/>
      <c r="F28" s="246"/>
      <c r="G28" s="246"/>
      <c r="H28" s="246"/>
      <c r="I28" s="246"/>
      <c r="J28" s="246"/>
      <c r="K28" s="280"/>
      <c r="L28" s="246">
        <v>2069583410</v>
      </c>
      <c r="M28" s="246">
        <f>L28/3500*6000+1495310726+68493120</f>
        <v>5111661120.2857141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840">
        <v>0</v>
      </c>
      <c r="T28" s="246">
        <f t="shared" si="0"/>
        <v>0</v>
      </c>
    </row>
    <row r="29" spans="1:20" ht="26.45" customHeight="1">
      <c r="A29" s="392"/>
      <c r="B29" s="280" t="s">
        <v>92</v>
      </c>
      <c r="C29" s="246">
        <v>6000000</v>
      </c>
      <c r="D29" s="246">
        <v>18000000</v>
      </c>
      <c r="E29" s="246">
        <v>18000000</v>
      </c>
      <c r="F29" s="246">
        <v>18000000</v>
      </c>
      <c r="G29" s="246">
        <v>15859200</v>
      </c>
      <c r="H29" s="246">
        <v>19824000</v>
      </c>
      <c r="I29" s="246">
        <v>14764915</v>
      </c>
      <c r="J29" s="246">
        <v>35000000</v>
      </c>
      <c r="K29" s="246">
        <v>2234400</v>
      </c>
      <c r="L29" s="280">
        <f t="shared" ref="L29:Q29" si="6">SUM(L25:L28)</f>
        <v>2391685681</v>
      </c>
      <c r="M29" s="280">
        <f t="shared" si="6"/>
        <v>5337132709.985714</v>
      </c>
      <c r="N29" s="280">
        <f t="shared" si="6"/>
        <v>183471589.69999999</v>
      </c>
      <c r="O29" s="280">
        <f t="shared" si="6"/>
        <v>183471589.69999999</v>
      </c>
      <c r="P29" s="280">
        <f t="shared" si="6"/>
        <v>214115590</v>
      </c>
      <c r="Q29" s="280">
        <f t="shared" si="6"/>
        <v>234115590</v>
      </c>
      <c r="R29" s="280">
        <f>SUM(R25:R28)</f>
        <v>234115590</v>
      </c>
      <c r="S29" s="851">
        <f>SUM(S25:S28)</f>
        <v>338901990</v>
      </c>
      <c r="T29" s="280">
        <f t="shared" si="0"/>
        <v>104786400</v>
      </c>
    </row>
    <row r="30" spans="1:20" ht="26.45" customHeight="1">
      <c r="A30" s="476">
        <v>2230</v>
      </c>
      <c r="B30" s="280" t="s">
        <v>130</v>
      </c>
      <c r="C30" s="246"/>
      <c r="D30" s="246"/>
      <c r="E30" s="246"/>
      <c r="F30" s="246"/>
      <c r="G30" s="246"/>
      <c r="H30" s="246"/>
      <c r="I30" s="246"/>
      <c r="J30" s="246"/>
      <c r="K30" s="280">
        <f>SUM(K29:K29)</f>
        <v>2234400</v>
      </c>
      <c r="L30" s="280"/>
      <c r="M30" s="280"/>
      <c r="N30" s="280"/>
      <c r="O30" s="280"/>
      <c r="P30" s="280"/>
      <c r="Q30" s="280"/>
      <c r="R30" s="280"/>
      <c r="S30" s="851"/>
      <c r="T30" s="246">
        <f t="shared" si="0"/>
        <v>0</v>
      </c>
    </row>
    <row r="31" spans="1:20" ht="26.45" customHeight="1">
      <c r="A31" s="392">
        <v>22301</v>
      </c>
      <c r="B31" s="246" t="s">
        <v>49</v>
      </c>
      <c r="C31" s="246">
        <v>13333000</v>
      </c>
      <c r="D31" s="246">
        <v>5000000</v>
      </c>
      <c r="E31" s="246">
        <v>0</v>
      </c>
      <c r="F31" s="246">
        <v>0</v>
      </c>
      <c r="G31" s="246">
        <v>0</v>
      </c>
      <c r="H31" s="246">
        <v>100000000</v>
      </c>
      <c r="I31" s="246">
        <v>70000000</v>
      </c>
      <c r="J31" s="246">
        <v>70000000</v>
      </c>
      <c r="K31" s="246"/>
      <c r="L31" s="246">
        <v>48360000</v>
      </c>
      <c r="M31" s="246">
        <f>L31*70%</f>
        <v>33852000</v>
      </c>
      <c r="N31" s="246">
        <f>M31</f>
        <v>33852000</v>
      </c>
      <c r="O31" s="246">
        <f>N31</f>
        <v>33852000</v>
      </c>
      <c r="P31" s="246">
        <v>48852000</v>
      </c>
      <c r="Q31" s="246">
        <v>58852000</v>
      </c>
      <c r="R31" s="246">
        <v>58852000</v>
      </c>
      <c r="S31" s="840">
        <v>86000000</v>
      </c>
      <c r="T31" s="246">
        <f t="shared" si="0"/>
        <v>27148000</v>
      </c>
    </row>
    <row r="32" spans="1:20" ht="26.45" customHeight="1">
      <c r="A32" s="392">
        <v>22313</v>
      </c>
      <c r="B32" s="246" t="s">
        <v>251</v>
      </c>
      <c r="C32" s="246">
        <v>27897000</v>
      </c>
      <c r="D32" s="246">
        <f>40000000-5000000</f>
        <v>35000000</v>
      </c>
      <c r="E32" s="246">
        <v>35000000</v>
      </c>
      <c r="F32" s="246">
        <v>35000000</v>
      </c>
      <c r="G32" s="246">
        <v>0</v>
      </c>
      <c r="H32" s="246">
        <v>0</v>
      </c>
      <c r="I32" s="246">
        <v>0</v>
      </c>
      <c r="J32" s="246">
        <v>0</v>
      </c>
      <c r="K32" s="280" t="e">
        <f>SUM(#REF!)</f>
        <v>#REF!</v>
      </c>
      <c r="L32" s="246">
        <v>2234400</v>
      </c>
      <c r="M32" s="246">
        <f>2234400*70%</f>
        <v>1564080</v>
      </c>
      <c r="N32" s="246">
        <f>2234400*70%</f>
        <v>1564080</v>
      </c>
      <c r="O32" s="246">
        <v>3564080</v>
      </c>
      <c r="P32" s="246">
        <v>8564080</v>
      </c>
      <c r="Q32" s="246">
        <v>8564080</v>
      </c>
      <c r="R32" s="246">
        <v>8564080</v>
      </c>
      <c r="S32" s="840">
        <v>8564080</v>
      </c>
      <c r="T32" s="246">
        <f t="shared" si="0"/>
        <v>0</v>
      </c>
    </row>
    <row r="33" spans="1:24" ht="26.45" customHeight="1">
      <c r="A33" s="392"/>
      <c r="B33" s="280" t="s">
        <v>92</v>
      </c>
      <c r="C33" s="246">
        <v>0</v>
      </c>
      <c r="D33" s="246">
        <v>0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80" t="e">
        <f>K32+K30+K27+#REF!+K18+#REF!</f>
        <v>#REF!</v>
      </c>
      <c r="L33" s="280">
        <f t="shared" ref="L33:P33" si="7">SUM(L31:L32)</f>
        <v>50594400</v>
      </c>
      <c r="M33" s="280">
        <f t="shared" si="7"/>
        <v>35416080</v>
      </c>
      <c r="N33" s="280">
        <f t="shared" si="7"/>
        <v>35416080</v>
      </c>
      <c r="O33" s="280">
        <f t="shared" si="7"/>
        <v>37416080</v>
      </c>
      <c r="P33" s="280">
        <f t="shared" si="7"/>
        <v>57416080</v>
      </c>
      <c r="Q33" s="280">
        <f>SUM(Q31:Q32)</f>
        <v>67416080</v>
      </c>
      <c r="R33" s="280">
        <f>SUM(R31:R32)</f>
        <v>67416080</v>
      </c>
      <c r="S33" s="851">
        <f>SUM(S31:S32)</f>
        <v>94564080</v>
      </c>
      <c r="T33" s="280">
        <f t="shared" si="0"/>
        <v>27148000</v>
      </c>
    </row>
    <row r="34" spans="1:24" ht="26.45" customHeight="1">
      <c r="A34" s="476">
        <v>270</v>
      </c>
      <c r="B34" s="280" t="s">
        <v>253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853"/>
      <c r="T34" s="246">
        <f t="shared" si="0"/>
        <v>0</v>
      </c>
    </row>
    <row r="35" spans="1:24" ht="26.45" customHeight="1">
      <c r="A35" s="476">
        <v>2710</v>
      </c>
      <c r="B35" s="280" t="s">
        <v>252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853"/>
      <c r="T35" s="246">
        <f t="shared" si="0"/>
        <v>0</v>
      </c>
    </row>
    <row r="36" spans="1:24" ht="26.45" customHeight="1">
      <c r="A36" s="392">
        <v>27601</v>
      </c>
      <c r="B36" s="246" t="s">
        <v>577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>
        <v>0</v>
      </c>
      <c r="N36" s="274">
        <v>50000000</v>
      </c>
      <c r="O36" s="274"/>
      <c r="P36" s="274">
        <v>43000000</v>
      </c>
      <c r="Q36" s="274">
        <v>43000000</v>
      </c>
      <c r="R36" s="274">
        <v>43000000</v>
      </c>
      <c r="S36" s="853">
        <v>0</v>
      </c>
      <c r="T36" s="246">
        <f t="shared" si="0"/>
        <v>-43000000</v>
      </c>
    </row>
    <row r="37" spans="1:24" ht="26.45" customHeight="1">
      <c r="A37" s="392">
        <v>27402</v>
      </c>
      <c r="B37" s="246" t="s">
        <v>500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>
        <v>108000000</v>
      </c>
      <c r="M37" s="274">
        <v>96000000</v>
      </c>
      <c r="N37" s="274">
        <v>42000000</v>
      </c>
      <c r="O37" s="274">
        <v>120000000</v>
      </c>
      <c r="P37" s="274">
        <v>230000000</v>
      </c>
      <c r="Q37" s="274">
        <v>0</v>
      </c>
      <c r="R37" s="274">
        <v>180000000</v>
      </c>
      <c r="S37" s="853">
        <v>240000000</v>
      </c>
      <c r="T37" s="246">
        <f t="shared" si="0"/>
        <v>60000000</v>
      </c>
    </row>
    <row r="38" spans="1:24" ht="26.45" customHeight="1">
      <c r="A38" s="392">
        <v>27502</v>
      </c>
      <c r="B38" s="246" t="s">
        <v>148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>
        <v>5489600</v>
      </c>
      <c r="M38" s="274">
        <f>5489600*70%</f>
        <v>3842719.9999999995</v>
      </c>
      <c r="N38" s="274">
        <v>0</v>
      </c>
      <c r="O38" s="274">
        <v>0</v>
      </c>
      <c r="P38" s="274">
        <v>0</v>
      </c>
      <c r="Q38" s="274">
        <v>0</v>
      </c>
      <c r="R38" s="274">
        <v>0</v>
      </c>
      <c r="S38" s="853">
        <v>0</v>
      </c>
      <c r="T38" s="246">
        <f t="shared" si="0"/>
        <v>0</v>
      </c>
    </row>
    <row r="39" spans="1:24" ht="26.45" customHeight="1">
      <c r="A39" s="392"/>
      <c r="B39" s="280" t="s">
        <v>92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9">
        <f>SUM(L37:L38)</f>
        <v>113489600</v>
      </c>
      <c r="M39" s="279">
        <f>SUM(M37:M38)</f>
        <v>99842720</v>
      </c>
      <c r="N39" s="279">
        <f t="shared" ref="N39:S39" si="8">SUM(N35:N38)</f>
        <v>92000000</v>
      </c>
      <c r="O39" s="279">
        <f t="shared" si="8"/>
        <v>120000000</v>
      </c>
      <c r="P39" s="279">
        <f t="shared" si="8"/>
        <v>273000000</v>
      </c>
      <c r="Q39" s="279">
        <f t="shared" si="8"/>
        <v>43000000</v>
      </c>
      <c r="R39" s="279">
        <f t="shared" si="8"/>
        <v>223000000</v>
      </c>
      <c r="S39" s="850">
        <f t="shared" si="8"/>
        <v>240000000</v>
      </c>
      <c r="T39" s="280">
        <f t="shared" si="0"/>
        <v>17000000</v>
      </c>
    </row>
    <row r="40" spans="1:24" ht="26.45" customHeight="1">
      <c r="A40" s="558">
        <v>2720</v>
      </c>
      <c r="B40" s="521" t="s">
        <v>261</v>
      </c>
      <c r="C40" s="292"/>
      <c r="D40" s="292"/>
      <c r="E40" s="292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853"/>
      <c r="T40" s="246">
        <f t="shared" si="0"/>
        <v>0</v>
      </c>
    </row>
    <row r="41" spans="1:24" ht="26.45" customHeight="1">
      <c r="A41" s="563">
        <v>27209</v>
      </c>
      <c r="B41" s="564" t="s">
        <v>1056</v>
      </c>
      <c r="C41" s="292"/>
      <c r="D41" s="292"/>
      <c r="E41" s="292"/>
      <c r="F41" s="274"/>
      <c r="G41" s="274"/>
      <c r="H41" s="274"/>
      <c r="I41" s="274"/>
      <c r="J41" s="274"/>
      <c r="K41" s="274"/>
      <c r="L41" s="274">
        <v>179057970</v>
      </c>
      <c r="M41" s="274">
        <v>100000000</v>
      </c>
      <c r="N41" s="274">
        <v>0</v>
      </c>
      <c r="O41" s="274">
        <v>0</v>
      </c>
      <c r="P41" s="274">
        <v>0</v>
      </c>
      <c r="Q41" s="274">
        <v>192000000</v>
      </c>
      <c r="R41" s="274">
        <f>Q41</f>
        <v>192000000</v>
      </c>
      <c r="S41" s="853">
        <v>0</v>
      </c>
      <c r="T41" s="246">
        <f t="shared" si="0"/>
        <v>-192000000</v>
      </c>
      <c r="X41" s="543"/>
    </row>
    <row r="42" spans="1:24" ht="26.45" customHeight="1">
      <c r="A42" s="392"/>
      <c r="B42" s="280" t="s">
        <v>92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9">
        <f t="shared" ref="L42:P42" si="9">SUM(L41)</f>
        <v>179057970</v>
      </c>
      <c r="M42" s="279">
        <f t="shared" si="9"/>
        <v>100000000</v>
      </c>
      <c r="N42" s="279">
        <f t="shared" si="9"/>
        <v>0</v>
      </c>
      <c r="O42" s="279">
        <f t="shared" si="9"/>
        <v>0</v>
      </c>
      <c r="P42" s="279">
        <f t="shared" si="9"/>
        <v>0</v>
      </c>
      <c r="Q42" s="279">
        <f>SUM(Q41)</f>
        <v>192000000</v>
      </c>
      <c r="R42" s="279">
        <f>SUM(R41)</f>
        <v>192000000</v>
      </c>
      <c r="S42" s="850">
        <f>SUM(S41)</f>
        <v>0</v>
      </c>
      <c r="T42" s="246">
        <f t="shared" si="0"/>
        <v>-192000000</v>
      </c>
    </row>
    <row r="43" spans="1:24" ht="26.45" customHeight="1">
      <c r="A43" s="392">
        <v>2810</v>
      </c>
      <c r="B43" s="280" t="s">
        <v>1382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9"/>
      <c r="M43" s="279"/>
      <c r="N43" s="279"/>
      <c r="O43" s="279"/>
      <c r="P43" s="279"/>
      <c r="Q43" s="279"/>
      <c r="R43" s="279"/>
      <c r="S43" s="850"/>
      <c r="T43" s="246">
        <f t="shared" si="0"/>
        <v>0</v>
      </c>
    </row>
    <row r="44" spans="1:24" ht="26.45" customHeight="1">
      <c r="A44" s="392"/>
      <c r="B44" s="246" t="s">
        <v>559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9"/>
      <c r="M44" s="279"/>
      <c r="N44" s="279"/>
      <c r="O44" s="279"/>
      <c r="P44" s="279"/>
      <c r="Q44" s="279"/>
      <c r="R44" s="279"/>
      <c r="S44" s="853">
        <v>50000000</v>
      </c>
      <c r="T44" s="246">
        <f t="shared" si="0"/>
        <v>50000000</v>
      </c>
    </row>
    <row r="45" spans="1:24" ht="26.45" customHeight="1">
      <c r="A45" s="392"/>
      <c r="B45" s="280" t="s">
        <v>92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9"/>
      <c r="M45" s="279"/>
      <c r="N45" s="279"/>
      <c r="O45" s="279"/>
      <c r="P45" s="279"/>
      <c r="Q45" s="279"/>
      <c r="R45" s="279"/>
      <c r="S45" s="850">
        <f>SUM(S44)</f>
        <v>50000000</v>
      </c>
      <c r="T45" s="280">
        <f t="shared" si="0"/>
        <v>50000000</v>
      </c>
    </row>
    <row r="46" spans="1:24" ht="26.45" customHeight="1">
      <c r="A46" s="476"/>
      <c r="B46" s="280" t="s">
        <v>317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9">
        <f>L42+L39+L33+L29+L23+L10</f>
        <v>12089432607</v>
      </c>
      <c r="M46" s="279">
        <f>M42+M39+M33+M29+M23+M10</f>
        <v>23225587505.985714</v>
      </c>
      <c r="N46" s="279">
        <f>N42+N39+N33+N29+N23+N10</f>
        <v>1432566865.7</v>
      </c>
      <c r="O46" s="279">
        <f>O42+O39+O33+O29+O23+O10</f>
        <v>1677633109.7</v>
      </c>
      <c r="P46" s="279">
        <f>SUM(P42,P39,P33,P29,P23,P10)</f>
        <v>2264921270</v>
      </c>
      <c r="Q46" s="279">
        <f>SUM(Q42,Q39,Q33,Q29,Q23,Q10)</f>
        <v>2276373110</v>
      </c>
      <c r="R46" s="279">
        <f>SUM(R42,R39,R33,R29,R23,R10)</f>
        <v>2634829110</v>
      </c>
      <c r="S46" s="850">
        <f>S45+S39+S33+S29+S23+S10+S42</f>
        <v>3136231254</v>
      </c>
      <c r="T46" s="280">
        <f t="shared" si="0"/>
        <v>501402144</v>
      </c>
    </row>
    <row r="48" spans="1:24" ht="18.75">
      <c r="N48" s="566"/>
      <c r="O48" s="566"/>
      <c r="P48" s="566"/>
      <c r="Q48" s="566"/>
      <c r="R48" s="566"/>
      <c r="S48" s="566"/>
      <c r="T48" s="566"/>
    </row>
  </sheetData>
  <pageMargins left="0.53" right="0.25" top="0.79" bottom="0.28000000000000003" header="0.17" footer="0.17"/>
  <pageSetup scale="58" orientation="portrait" r:id="rId1"/>
  <headerFooter>
    <oddHeader>&amp;C&amp;"Algerian,Bold"&amp;36WASAARADdA GAASHAANDHIGA</oddHeader>
    <oddFooter>&amp;R&amp;"Times New Roman,Bold"&amp;14 28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topLeftCell="A37" zoomScale="60" zoomScaleNormal="60" zoomScalePageLayoutView="85" workbookViewId="0">
      <selection activeCell="S51" sqref="S51"/>
    </sheetView>
  </sheetViews>
  <sheetFormatPr defaultRowHeight="30.95" customHeight="1"/>
  <cols>
    <col min="1" max="1" width="17.33203125" style="732" bestFit="1" customWidth="1"/>
    <col min="2" max="2" width="88.33203125" style="732" customWidth="1"/>
    <col min="3" max="3" width="1.1640625" style="732" hidden="1" customWidth="1"/>
    <col min="4" max="4" width="1.6640625" style="732" hidden="1" customWidth="1"/>
    <col min="5" max="5" width="1" style="732" hidden="1" customWidth="1"/>
    <col min="6" max="6" width="1.33203125" style="732" hidden="1" customWidth="1"/>
    <col min="7" max="7" width="1.5" style="732" hidden="1" customWidth="1"/>
    <col min="8" max="8" width="1.83203125" style="732" hidden="1" customWidth="1"/>
    <col min="9" max="9" width="1.33203125" style="732" hidden="1" customWidth="1"/>
    <col min="10" max="10" width="2.6640625" style="732" hidden="1" customWidth="1"/>
    <col min="11" max="11" width="3" style="732" hidden="1" customWidth="1"/>
    <col min="12" max="12" width="0.1640625" style="732" hidden="1" customWidth="1"/>
    <col min="13" max="13" width="27.1640625" style="732" hidden="1" customWidth="1"/>
    <col min="14" max="14" width="36" style="732" hidden="1" customWidth="1"/>
    <col min="15" max="15" width="0.1640625" style="732" hidden="1" customWidth="1"/>
    <col min="16" max="16" width="40.6640625" style="732" hidden="1" customWidth="1"/>
    <col min="17" max="17" width="0.1640625" style="732" customWidth="1"/>
    <col min="18" max="19" width="40.6640625" style="732" customWidth="1"/>
    <col min="20" max="20" width="41.5" style="744" customWidth="1"/>
    <col min="21" max="16384" width="9.33203125" style="732"/>
  </cols>
  <sheetData>
    <row r="1" spans="1:20" ht="30.95" customHeight="1">
      <c r="A1" s="665" t="s">
        <v>40</v>
      </c>
      <c r="B1" s="664" t="s">
        <v>1002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297"/>
    </row>
    <row r="2" spans="1:20" ht="30.95" customHeight="1">
      <c r="A2" s="666">
        <v>210</v>
      </c>
      <c r="B2" s="297" t="s">
        <v>137</v>
      </c>
      <c r="C2" s="665" t="s">
        <v>38</v>
      </c>
      <c r="D2" s="668" t="s">
        <v>2</v>
      </c>
      <c r="E2" s="668" t="s">
        <v>43</v>
      </c>
      <c r="F2" s="668" t="s">
        <v>46</v>
      </c>
      <c r="G2" s="668" t="s">
        <v>55</v>
      </c>
      <c r="H2" s="668" t="s">
        <v>62</v>
      </c>
      <c r="I2" s="668" t="s">
        <v>103</v>
      </c>
      <c r="J2" s="668" t="s">
        <v>107</v>
      </c>
      <c r="K2" s="668" t="s">
        <v>115</v>
      </c>
      <c r="L2" s="668" t="s">
        <v>151</v>
      </c>
      <c r="M2" s="668" t="s">
        <v>257</v>
      </c>
      <c r="N2" s="668" t="s">
        <v>440</v>
      </c>
      <c r="O2" s="668" t="s">
        <v>814</v>
      </c>
      <c r="P2" s="668" t="s">
        <v>874</v>
      </c>
      <c r="Q2" s="668" t="s">
        <v>973</v>
      </c>
      <c r="R2" s="668" t="s">
        <v>1160</v>
      </c>
      <c r="S2" s="668" t="s">
        <v>1320</v>
      </c>
      <c r="T2" s="669" t="s">
        <v>56</v>
      </c>
    </row>
    <row r="3" spans="1:20" ht="30.95" customHeight="1">
      <c r="A3" s="666">
        <v>2110</v>
      </c>
      <c r="B3" s="297" t="s">
        <v>213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296"/>
    </row>
    <row r="4" spans="1:20" ht="30.95" customHeight="1">
      <c r="A4" s="671">
        <v>21101</v>
      </c>
      <c r="B4" s="296" t="s">
        <v>28</v>
      </c>
      <c r="C4" s="296">
        <v>17112000000</v>
      </c>
      <c r="D4" s="296">
        <v>15624000000</v>
      </c>
      <c r="E4" s="296">
        <v>18332364000</v>
      </c>
      <c r="F4" s="296">
        <v>20250384000</v>
      </c>
      <c r="G4" s="296">
        <f>23444496000+1713600000</f>
        <v>25158096000</v>
      </c>
      <c r="H4" s="296">
        <v>24364944000</v>
      </c>
      <c r="I4" s="296">
        <v>31674427200</v>
      </c>
      <c r="J4" s="296">
        <v>41713838400</v>
      </c>
      <c r="K4" s="296">
        <v>42736449600</v>
      </c>
      <c r="L4" s="296">
        <f>42736449600+212160000</f>
        <v>42948609600</v>
      </c>
      <c r="M4" s="296">
        <f>53798472000+32902833600</f>
        <v>86701305600</v>
      </c>
      <c r="N4" s="296">
        <v>85122835200</v>
      </c>
      <c r="O4" s="296">
        <v>90876614400</v>
      </c>
      <c r="P4" s="296">
        <v>112107041280</v>
      </c>
      <c r="Q4" s="296">
        <v>128898838080</v>
      </c>
      <c r="R4" s="296">
        <v>128873088000</v>
      </c>
      <c r="S4" s="876">
        <v>147709998720</v>
      </c>
      <c r="T4" s="296">
        <f>S4-R4</f>
        <v>18836910720</v>
      </c>
    </row>
    <row r="5" spans="1:20" ht="30.95" customHeight="1">
      <c r="A5" s="671">
        <v>21103</v>
      </c>
      <c r="B5" s="296" t="s">
        <v>30</v>
      </c>
      <c r="C5" s="296">
        <v>720000000</v>
      </c>
      <c r="D5" s="296">
        <v>936000000</v>
      </c>
      <c r="E5" s="296">
        <v>936000000</v>
      </c>
      <c r="F5" s="296">
        <v>1056312000</v>
      </c>
      <c r="G5" s="296">
        <v>1634880000</v>
      </c>
      <c r="H5" s="296">
        <v>1560696000</v>
      </c>
      <c r="I5" s="296">
        <v>1560696000</v>
      </c>
      <c r="J5" s="296">
        <v>1560696000</v>
      </c>
      <c r="K5" s="296">
        <v>1560696000</v>
      </c>
      <c r="L5" s="296">
        <v>1560696000</v>
      </c>
      <c r="M5" s="296">
        <f>1560696000+804270000</f>
        <v>2364966000</v>
      </c>
      <c r="N5" s="296">
        <f>1560696000+804270000</f>
        <v>2364966000</v>
      </c>
      <c r="O5" s="296">
        <f>1560696000+804270000</f>
        <v>2364966000</v>
      </c>
      <c r="P5" s="296">
        <v>2364966000</v>
      </c>
      <c r="Q5" s="296">
        <v>2364966000</v>
      </c>
      <c r="R5" s="296">
        <v>2724966000</v>
      </c>
      <c r="S5" s="876">
        <v>3394566000</v>
      </c>
      <c r="T5" s="296">
        <f t="shared" ref="T5:T51" si="0">S5-R5</f>
        <v>669600000</v>
      </c>
    </row>
    <row r="6" spans="1:20" ht="30.95" customHeight="1">
      <c r="A6" s="671">
        <v>21105</v>
      </c>
      <c r="B6" s="296" t="s">
        <v>393</v>
      </c>
      <c r="C6" s="297">
        <f t="shared" ref="C6:K6" si="1">SUM(C4:C5)</f>
        <v>17832000000</v>
      </c>
      <c r="D6" s="297">
        <f t="shared" si="1"/>
        <v>16560000000</v>
      </c>
      <c r="E6" s="297">
        <f t="shared" si="1"/>
        <v>19268364000</v>
      </c>
      <c r="F6" s="733">
        <f t="shared" si="1"/>
        <v>21306696000</v>
      </c>
      <c r="G6" s="733">
        <f t="shared" si="1"/>
        <v>26792976000</v>
      </c>
      <c r="H6" s="733">
        <f t="shared" si="1"/>
        <v>25925640000</v>
      </c>
      <c r="I6" s="733">
        <f t="shared" si="1"/>
        <v>33235123200</v>
      </c>
      <c r="J6" s="733">
        <f t="shared" si="1"/>
        <v>43274534400</v>
      </c>
      <c r="K6" s="733">
        <f t="shared" si="1"/>
        <v>44297145600</v>
      </c>
      <c r="L6" s="296">
        <v>66000000</v>
      </c>
      <c r="M6" s="670">
        <v>4030872000</v>
      </c>
      <c r="N6" s="670">
        <f>M6</f>
        <v>4030872000</v>
      </c>
      <c r="O6" s="670">
        <v>6682872000</v>
      </c>
      <c r="P6" s="670">
        <v>6682872000</v>
      </c>
      <c r="Q6" s="670">
        <v>8482872000</v>
      </c>
      <c r="R6" s="670">
        <v>20482872000</v>
      </c>
      <c r="S6" s="877">
        <v>20482872000</v>
      </c>
      <c r="T6" s="296">
        <f t="shared" si="0"/>
        <v>0</v>
      </c>
    </row>
    <row r="7" spans="1:20" ht="30.95" customHeight="1">
      <c r="A7" s="671"/>
      <c r="B7" s="297" t="s">
        <v>92</v>
      </c>
      <c r="C7" s="296">
        <v>40000000</v>
      </c>
      <c r="D7" s="296">
        <v>20000000</v>
      </c>
      <c r="E7" s="296">
        <v>20000000</v>
      </c>
      <c r="F7" s="296">
        <v>20000000</v>
      </c>
      <c r="G7" s="296">
        <v>30000000</v>
      </c>
      <c r="H7" s="296">
        <v>30000000</v>
      </c>
      <c r="I7" s="296">
        <v>22344000</v>
      </c>
      <c r="J7" s="296">
        <v>22344000</v>
      </c>
      <c r="K7" s="296">
        <v>29792000</v>
      </c>
      <c r="L7" s="297">
        <f t="shared" ref="L7:P7" si="2">SUM(L4:L6)</f>
        <v>44575305600</v>
      </c>
      <c r="M7" s="297">
        <f t="shared" si="2"/>
        <v>93097143600</v>
      </c>
      <c r="N7" s="297">
        <f t="shared" si="2"/>
        <v>91518673200</v>
      </c>
      <c r="O7" s="297">
        <f t="shared" si="2"/>
        <v>99924452400</v>
      </c>
      <c r="P7" s="297">
        <f t="shared" si="2"/>
        <v>121154879280</v>
      </c>
      <c r="Q7" s="297">
        <f>SUM(Q4:Q6)</f>
        <v>139746676080</v>
      </c>
      <c r="R7" s="297">
        <f>SUM(R4:R6)</f>
        <v>152080926000</v>
      </c>
      <c r="S7" s="878">
        <f>SUM(S4:S6)</f>
        <v>171587436720</v>
      </c>
      <c r="T7" s="297">
        <f t="shared" si="0"/>
        <v>19506510720</v>
      </c>
    </row>
    <row r="8" spans="1:20" ht="30.95" customHeight="1">
      <c r="A8" s="666">
        <v>2120</v>
      </c>
      <c r="B8" s="297" t="s">
        <v>1240</v>
      </c>
      <c r="C8" s="296"/>
      <c r="D8" s="296"/>
      <c r="E8" s="296"/>
      <c r="F8" s="296"/>
      <c r="G8" s="296"/>
      <c r="H8" s="296"/>
      <c r="I8" s="296"/>
      <c r="J8" s="296"/>
      <c r="K8" s="296"/>
      <c r="L8" s="297"/>
      <c r="M8" s="297"/>
      <c r="N8" s="297"/>
      <c r="O8" s="297"/>
      <c r="P8" s="297"/>
      <c r="Q8" s="297"/>
      <c r="R8" s="297"/>
      <c r="S8" s="878"/>
      <c r="T8" s="296">
        <f t="shared" si="0"/>
        <v>0</v>
      </c>
    </row>
    <row r="9" spans="1:20" ht="30.95" customHeight="1">
      <c r="A9" s="671">
        <v>21204</v>
      </c>
      <c r="B9" s="296" t="s">
        <v>76</v>
      </c>
      <c r="C9" s="296">
        <v>100000000</v>
      </c>
      <c r="D9" s="296">
        <v>70000000</v>
      </c>
      <c r="E9" s="296">
        <v>70000000</v>
      </c>
      <c r="F9" s="296">
        <v>70000000</v>
      </c>
      <c r="G9" s="296">
        <v>240000000</v>
      </c>
      <c r="H9" s="296">
        <v>231600000</v>
      </c>
      <c r="I9" s="296">
        <v>172495680</v>
      </c>
      <c r="J9" s="296">
        <v>360000000</v>
      </c>
      <c r="K9" s="296">
        <v>0</v>
      </c>
      <c r="L9" s="296">
        <v>55115200</v>
      </c>
      <c r="M9" s="296">
        <f t="shared" ref="M9:R9" si="3">55115200*70%</f>
        <v>38580640</v>
      </c>
      <c r="N9" s="296">
        <f t="shared" si="3"/>
        <v>38580640</v>
      </c>
      <c r="O9" s="296">
        <f t="shared" si="3"/>
        <v>38580640</v>
      </c>
      <c r="P9" s="296">
        <f t="shared" si="3"/>
        <v>38580640</v>
      </c>
      <c r="Q9" s="296">
        <f t="shared" si="3"/>
        <v>38580640</v>
      </c>
      <c r="R9" s="296">
        <f t="shared" si="3"/>
        <v>38580640</v>
      </c>
      <c r="S9" s="876">
        <v>300000000</v>
      </c>
      <c r="T9" s="296">
        <f t="shared" si="0"/>
        <v>261419360</v>
      </c>
    </row>
    <row r="10" spans="1:20" s="760" customFormat="1" ht="30.95" customHeight="1">
      <c r="A10" s="666"/>
      <c r="B10" s="297" t="s">
        <v>92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>
        <f>SUM(Q9)</f>
        <v>38580640</v>
      </c>
      <c r="R10" s="297">
        <f>SUM(R9)</f>
        <v>38580640</v>
      </c>
      <c r="S10" s="878">
        <f>SUM(S9)</f>
        <v>300000000</v>
      </c>
      <c r="T10" s="297">
        <f t="shared" si="0"/>
        <v>261419360</v>
      </c>
    </row>
    <row r="11" spans="1:20" ht="30.95" customHeight="1">
      <c r="A11" s="666">
        <v>220</v>
      </c>
      <c r="B11" s="297" t="s">
        <v>225</v>
      </c>
      <c r="C11" s="296">
        <v>5216400000</v>
      </c>
      <c r="D11" s="296">
        <f>4614207444-321986144</f>
        <v>4292221300</v>
      </c>
      <c r="E11" s="296">
        <v>4429296000</v>
      </c>
      <c r="F11" s="296">
        <f>6233690400+62068300-62068300</f>
        <v>6233690400</v>
      </c>
      <c r="G11" s="296">
        <f>5338242000+382200000</f>
        <v>5720442000</v>
      </c>
      <c r="H11" s="296">
        <v>6097038948</v>
      </c>
      <c r="I11" s="296">
        <f>6097038948+1005126552</f>
        <v>7102165500</v>
      </c>
      <c r="J11" s="296">
        <v>12155102736</v>
      </c>
      <c r="K11" s="296">
        <v>0</v>
      </c>
      <c r="L11" s="296"/>
      <c r="M11" s="296"/>
      <c r="N11" s="296"/>
      <c r="O11" s="296"/>
      <c r="P11" s="296"/>
      <c r="Q11" s="296"/>
      <c r="R11" s="296"/>
      <c r="S11" s="876"/>
      <c r="T11" s="296">
        <f t="shared" si="0"/>
        <v>0</v>
      </c>
    </row>
    <row r="12" spans="1:20" ht="30.95" customHeight="1">
      <c r="A12" s="666">
        <v>2210</v>
      </c>
      <c r="B12" s="297" t="s">
        <v>226</v>
      </c>
      <c r="C12" s="296"/>
      <c r="D12" s="296"/>
      <c r="E12" s="296"/>
      <c r="F12" s="296"/>
      <c r="G12" s="296"/>
      <c r="H12" s="296">
        <v>0</v>
      </c>
      <c r="I12" s="296">
        <v>542579375</v>
      </c>
      <c r="J12" s="296">
        <v>786532500</v>
      </c>
      <c r="K12" s="296">
        <v>1620000000</v>
      </c>
      <c r="L12" s="296"/>
      <c r="M12" s="296"/>
      <c r="N12" s="296"/>
      <c r="O12" s="296"/>
      <c r="P12" s="296"/>
      <c r="Q12" s="296"/>
      <c r="R12" s="296"/>
      <c r="S12" s="876"/>
      <c r="T12" s="296">
        <f t="shared" si="0"/>
        <v>0</v>
      </c>
    </row>
    <row r="13" spans="1:20" ht="30.95" customHeight="1">
      <c r="A13" s="671">
        <v>22101</v>
      </c>
      <c r="B13" s="296" t="s">
        <v>33</v>
      </c>
      <c r="C13" s="296"/>
      <c r="D13" s="296"/>
      <c r="E13" s="296"/>
      <c r="F13" s="296"/>
      <c r="G13" s="296"/>
      <c r="H13" s="296">
        <v>0</v>
      </c>
      <c r="I13" s="296">
        <v>132000000</v>
      </c>
      <c r="J13" s="296">
        <v>132000000</v>
      </c>
      <c r="K13" s="296">
        <v>22344000</v>
      </c>
      <c r="L13" s="296">
        <v>63625600</v>
      </c>
      <c r="M13" s="296">
        <f t="shared" ref="M13:S13" si="4">63625600*70%</f>
        <v>44537920</v>
      </c>
      <c r="N13" s="296">
        <f t="shared" si="4"/>
        <v>44537920</v>
      </c>
      <c r="O13" s="296">
        <f t="shared" si="4"/>
        <v>44537920</v>
      </c>
      <c r="P13" s="296">
        <f t="shared" si="4"/>
        <v>44537920</v>
      </c>
      <c r="Q13" s="296">
        <f t="shared" si="4"/>
        <v>44537920</v>
      </c>
      <c r="R13" s="296">
        <f t="shared" si="4"/>
        <v>44537920</v>
      </c>
      <c r="S13" s="876">
        <f t="shared" si="4"/>
        <v>44537920</v>
      </c>
      <c r="T13" s="296">
        <f t="shared" si="0"/>
        <v>0</v>
      </c>
    </row>
    <row r="14" spans="1:20" ht="30.95" customHeight="1">
      <c r="A14" s="671">
        <v>22102</v>
      </c>
      <c r="B14" s="296" t="s">
        <v>124</v>
      </c>
      <c r="C14" s="297">
        <f t="shared" ref="C14:J14" si="5">SUM(C7:C13)</f>
        <v>5356400000</v>
      </c>
      <c r="D14" s="297">
        <f t="shared" si="5"/>
        <v>4382221300</v>
      </c>
      <c r="E14" s="297">
        <f t="shared" si="5"/>
        <v>4519296000</v>
      </c>
      <c r="F14" s="733">
        <f t="shared" si="5"/>
        <v>6323690400</v>
      </c>
      <c r="G14" s="733">
        <f t="shared" si="5"/>
        <v>5990442000</v>
      </c>
      <c r="H14" s="733">
        <f t="shared" si="5"/>
        <v>6358638948</v>
      </c>
      <c r="I14" s="733">
        <f t="shared" si="5"/>
        <v>7971584555</v>
      </c>
      <c r="J14" s="733">
        <f t="shared" si="5"/>
        <v>13455979236</v>
      </c>
      <c r="K14" s="670">
        <v>172495680</v>
      </c>
      <c r="L14" s="670">
        <v>52136000</v>
      </c>
      <c r="M14" s="670">
        <f t="shared" ref="M14:S14" si="6">52136000*70%</f>
        <v>36495200</v>
      </c>
      <c r="N14" s="670">
        <f t="shared" si="6"/>
        <v>36495200</v>
      </c>
      <c r="O14" s="670">
        <f t="shared" si="6"/>
        <v>36495200</v>
      </c>
      <c r="P14" s="670">
        <f t="shared" si="6"/>
        <v>36495200</v>
      </c>
      <c r="Q14" s="670">
        <f t="shared" si="6"/>
        <v>36495200</v>
      </c>
      <c r="R14" s="670">
        <f t="shared" si="6"/>
        <v>36495200</v>
      </c>
      <c r="S14" s="877">
        <f t="shared" si="6"/>
        <v>36495200</v>
      </c>
      <c r="T14" s="296">
        <f t="shared" si="0"/>
        <v>0</v>
      </c>
    </row>
    <row r="15" spans="1:20" ht="30.95" customHeight="1">
      <c r="A15" s="671">
        <v>22104</v>
      </c>
      <c r="B15" s="296" t="s">
        <v>157</v>
      </c>
      <c r="C15" s="296">
        <v>0</v>
      </c>
      <c r="D15" s="296">
        <v>0</v>
      </c>
      <c r="E15" s="296">
        <v>0</v>
      </c>
      <c r="F15" s="296">
        <v>0</v>
      </c>
      <c r="G15" s="296">
        <v>714000000</v>
      </c>
      <c r="H15" s="296">
        <v>1000000000</v>
      </c>
      <c r="I15" s="296">
        <v>744800000</v>
      </c>
      <c r="J15" s="296">
        <v>3250000000</v>
      </c>
      <c r="K15" s="296">
        <v>0</v>
      </c>
      <c r="L15" s="296">
        <v>29792000</v>
      </c>
      <c r="M15" s="296">
        <f t="shared" ref="M15:S15" si="7">29792000*70%</f>
        <v>20854400</v>
      </c>
      <c r="N15" s="296">
        <f t="shared" si="7"/>
        <v>20854400</v>
      </c>
      <c r="O15" s="296">
        <f t="shared" si="7"/>
        <v>20854400</v>
      </c>
      <c r="P15" s="296">
        <f t="shared" si="7"/>
        <v>20854400</v>
      </c>
      <c r="Q15" s="296">
        <f t="shared" si="7"/>
        <v>20854400</v>
      </c>
      <c r="R15" s="296">
        <f t="shared" si="7"/>
        <v>20854400</v>
      </c>
      <c r="S15" s="876">
        <f t="shared" si="7"/>
        <v>20854400</v>
      </c>
      <c r="T15" s="296">
        <f t="shared" si="0"/>
        <v>0</v>
      </c>
    </row>
    <row r="16" spans="1:20" ht="30.95" customHeight="1">
      <c r="A16" s="671">
        <v>22106</v>
      </c>
      <c r="B16" s="296" t="s">
        <v>126</v>
      </c>
      <c r="C16" s="296"/>
      <c r="D16" s="296"/>
      <c r="E16" s="296"/>
      <c r="F16" s="296"/>
      <c r="G16" s="296"/>
      <c r="H16" s="296"/>
      <c r="I16" s="296"/>
      <c r="J16" s="296"/>
      <c r="K16" s="296">
        <v>12525496600</v>
      </c>
      <c r="L16" s="296">
        <v>1620000000</v>
      </c>
      <c r="M16" s="296">
        <f>1620000000</f>
        <v>1620000000</v>
      </c>
      <c r="N16" s="296">
        <f>M16</f>
        <v>1620000000</v>
      </c>
      <c r="O16" s="296">
        <f>N16</f>
        <v>1620000000</v>
      </c>
      <c r="P16" s="296">
        <f>O16</f>
        <v>1620000000</v>
      </c>
      <c r="Q16" s="296">
        <f>P16</f>
        <v>1620000000</v>
      </c>
      <c r="R16" s="296">
        <v>2212000000</v>
      </c>
      <c r="S16" s="876">
        <v>2712000000</v>
      </c>
      <c r="T16" s="296">
        <f t="shared" si="0"/>
        <v>500000000</v>
      </c>
    </row>
    <row r="17" spans="1:20" ht="30.95" customHeight="1">
      <c r="A17" s="671">
        <v>22107</v>
      </c>
      <c r="B17" s="296" t="s">
        <v>48</v>
      </c>
      <c r="C17" s="296">
        <v>80000000</v>
      </c>
      <c r="D17" s="296">
        <v>40000000</v>
      </c>
      <c r="E17" s="296">
        <v>40000000</v>
      </c>
      <c r="F17" s="296">
        <v>0</v>
      </c>
      <c r="G17" s="296">
        <v>0</v>
      </c>
      <c r="H17" s="296">
        <v>400000000</v>
      </c>
      <c r="I17" s="296">
        <v>297920000</v>
      </c>
      <c r="J17" s="296">
        <v>297920000</v>
      </c>
      <c r="K17" s="296">
        <v>55115200</v>
      </c>
      <c r="L17" s="296">
        <v>22344000</v>
      </c>
      <c r="M17" s="296">
        <f>22344000*70%</f>
        <v>15640799.999999998</v>
      </c>
      <c r="N17" s="296">
        <f>M17*70%</f>
        <v>10948559.999999998</v>
      </c>
      <c r="O17" s="296">
        <f>N17</f>
        <v>10948559.999999998</v>
      </c>
      <c r="P17" s="296">
        <f>O17</f>
        <v>10948559.999999998</v>
      </c>
      <c r="Q17" s="296">
        <f>P17</f>
        <v>10948559.999999998</v>
      </c>
      <c r="R17" s="296">
        <f>Q17</f>
        <v>10948559.999999998</v>
      </c>
      <c r="S17" s="876">
        <f>R17</f>
        <v>10948559.999999998</v>
      </c>
      <c r="T17" s="296">
        <f t="shared" si="0"/>
        <v>0</v>
      </c>
    </row>
    <row r="18" spans="1:20" ht="30.95" customHeight="1">
      <c r="A18" s="671">
        <v>22112</v>
      </c>
      <c r="B18" s="296" t="s">
        <v>35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>
        <v>280000000</v>
      </c>
      <c r="M18" s="296">
        <f t="shared" ref="M18:R18" si="8">280000000*70%</f>
        <v>196000000</v>
      </c>
      <c r="N18" s="296">
        <f t="shared" si="8"/>
        <v>196000000</v>
      </c>
      <c r="O18" s="296">
        <f t="shared" si="8"/>
        <v>196000000</v>
      </c>
      <c r="P18" s="296">
        <f t="shared" si="8"/>
        <v>196000000</v>
      </c>
      <c r="Q18" s="296">
        <f t="shared" si="8"/>
        <v>196000000</v>
      </c>
      <c r="R18" s="296">
        <f t="shared" si="8"/>
        <v>196000000</v>
      </c>
      <c r="S18" s="876">
        <v>296000000</v>
      </c>
      <c r="T18" s="296">
        <f t="shared" si="0"/>
        <v>100000000</v>
      </c>
    </row>
    <row r="19" spans="1:20" ht="30.95" customHeight="1">
      <c r="A19" s="671">
        <v>22130</v>
      </c>
      <c r="B19" s="296" t="s">
        <v>284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>
        <v>12525496600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876">
        <v>0</v>
      </c>
      <c r="T19" s="296">
        <f t="shared" si="0"/>
        <v>0</v>
      </c>
    </row>
    <row r="20" spans="1:20" ht="30.95" customHeight="1">
      <c r="A20" s="671">
        <v>22134</v>
      </c>
      <c r="B20" s="296" t="s">
        <v>281</v>
      </c>
      <c r="C20" s="297"/>
      <c r="D20" s="297"/>
      <c r="E20" s="297"/>
      <c r="F20" s="297"/>
      <c r="G20" s="297"/>
      <c r="H20" s="297"/>
      <c r="I20" s="297"/>
      <c r="J20" s="297"/>
      <c r="K20" s="296"/>
      <c r="L20" s="296">
        <v>2303624499</v>
      </c>
      <c r="M20" s="296">
        <f>2303624499*70%+107764475+243024000</f>
        <v>1963325624.3</v>
      </c>
      <c r="N20" s="296">
        <f>M20*70%</f>
        <v>1374327937.01</v>
      </c>
      <c r="O20" s="296">
        <f>N20</f>
        <v>1374327937.01</v>
      </c>
      <c r="P20" s="296">
        <f>O20</f>
        <v>1374327937.01</v>
      </c>
      <c r="Q20" s="296">
        <f>P20</f>
        <v>1374327937.01</v>
      </c>
      <c r="R20" s="296">
        <f>Q20</f>
        <v>1374327937.01</v>
      </c>
      <c r="S20" s="876">
        <f>R20</f>
        <v>1374327937.01</v>
      </c>
      <c r="T20" s="296">
        <f t="shared" si="0"/>
        <v>0</v>
      </c>
    </row>
    <row r="21" spans="1:20" ht="30.95" customHeight="1">
      <c r="A21" s="671">
        <v>22135</v>
      </c>
      <c r="B21" s="296" t="s">
        <v>1393</v>
      </c>
      <c r="C21" s="297"/>
      <c r="D21" s="297"/>
      <c r="E21" s="297"/>
      <c r="F21" s="297"/>
      <c r="G21" s="297"/>
      <c r="H21" s="297"/>
      <c r="I21" s="297"/>
      <c r="J21" s="297"/>
      <c r="K21" s="296"/>
      <c r="L21" s="296"/>
      <c r="M21" s="296"/>
      <c r="N21" s="296"/>
      <c r="O21" s="296"/>
      <c r="P21" s="296"/>
      <c r="Q21" s="296"/>
      <c r="R21" s="296"/>
      <c r="S21" s="876">
        <v>150000000</v>
      </c>
      <c r="T21" s="296"/>
    </row>
    <row r="22" spans="1:20" ht="30.95" customHeight="1">
      <c r="A22" s="671">
        <v>22137</v>
      </c>
      <c r="B22" s="296" t="s">
        <v>282</v>
      </c>
      <c r="C22" s="296"/>
      <c r="D22" s="296"/>
      <c r="E22" s="296"/>
      <c r="F22" s="296"/>
      <c r="G22" s="296"/>
      <c r="H22" s="296"/>
      <c r="I22" s="296"/>
      <c r="J22" s="296"/>
      <c r="K22" s="296">
        <v>22344000</v>
      </c>
      <c r="L22" s="296">
        <v>67032000</v>
      </c>
      <c r="M22" s="296">
        <f t="shared" ref="M22:P22" si="9">67032000*70%</f>
        <v>46922400</v>
      </c>
      <c r="N22" s="296">
        <f t="shared" si="9"/>
        <v>46922400</v>
      </c>
      <c r="O22" s="296">
        <f t="shared" si="9"/>
        <v>46922400</v>
      </c>
      <c r="P22" s="296">
        <f t="shared" si="9"/>
        <v>46922400</v>
      </c>
      <c r="Q22" s="296">
        <v>46922400</v>
      </c>
      <c r="R22" s="296">
        <v>46922400</v>
      </c>
      <c r="S22" s="876">
        <v>46922400</v>
      </c>
      <c r="T22" s="296">
        <f t="shared" si="0"/>
        <v>0</v>
      </c>
    </row>
    <row r="23" spans="1:20" ht="30.95" customHeight="1">
      <c r="A23" s="671"/>
      <c r="B23" s="297" t="s">
        <v>92</v>
      </c>
      <c r="C23" s="296">
        <v>0</v>
      </c>
      <c r="D23" s="296">
        <v>0</v>
      </c>
      <c r="E23" s="296">
        <v>0</v>
      </c>
      <c r="F23" s="296">
        <v>0</v>
      </c>
      <c r="G23" s="296">
        <v>72000000</v>
      </c>
      <c r="H23" s="296">
        <v>72000000</v>
      </c>
      <c r="I23" s="296">
        <v>53625600</v>
      </c>
      <c r="J23" s="296">
        <v>53625600</v>
      </c>
      <c r="K23" s="296">
        <v>13058797840</v>
      </c>
      <c r="L23" s="297">
        <f t="shared" ref="L23:R23" si="10">SUM(L13:L22)</f>
        <v>16964050699</v>
      </c>
      <c r="M23" s="297">
        <f t="shared" si="10"/>
        <v>3943776344.3000002</v>
      </c>
      <c r="N23" s="297">
        <f t="shared" si="10"/>
        <v>3350086417.0100002</v>
      </c>
      <c r="O23" s="297">
        <f t="shared" si="10"/>
        <v>3350086417.0100002</v>
      </c>
      <c r="P23" s="297">
        <f t="shared" si="10"/>
        <v>3350086417.0100002</v>
      </c>
      <c r="Q23" s="297">
        <f t="shared" si="10"/>
        <v>3350086417.0100002</v>
      </c>
      <c r="R23" s="297">
        <f t="shared" si="10"/>
        <v>3942086417.0100002</v>
      </c>
      <c r="S23" s="878">
        <f t="shared" ref="S23" si="11">SUM(S13:S22)</f>
        <v>4692086417.0100002</v>
      </c>
      <c r="T23" s="297">
        <f t="shared" si="0"/>
        <v>750000000</v>
      </c>
    </row>
    <row r="24" spans="1:20" ht="30.95" customHeight="1">
      <c r="A24" s="666">
        <v>2220</v>
      </c>
      <c r="B24" s="297" t="s">
        <v>240</v>
      </c>
      <c r="C24" s="296">
        <v>100000000</v>
      </c>
      <c r="D24" s="296">
        <v>70000000</v>
      </c>
      <c r="E24" s="296">
        <v>70000000</v>
      </c>
      <c r="F24" s="296">
        <v>70000000</v>
      </c>
      <c r="G24" s="296">
        <v>70000000</v>
      </c>
      <c r="H24" s="296">
        <v>70000000</v>
      </c>
      <c r="I24" s="296">
        <v>52136000</v>
      </c>
      <c r="J24" s="296">
        <v>52136000</v>
      </c>
      <c r="K24" s="296">
        <v>82672800</v>
      </c>
      <c r="L24" s="296"/>
      <c r="M24" s="296"/>
      <c r="N24" s="296"/>
      <c r="O24" s="296"/>
      <c r="P24" s="296"/>
      <c r="Q24" s="296"/>
      <c r="R24" s="296"/>
      <c r="S24" s="876"/>
      <c r="T24" s="296">
        <f t="shared" si="0"/>
        <v>0</v>
      </c>
    </row>
    <row r="25" spans="1:20" ht="30.95" customHeight="1">
      <c r="A25" s="671">
        <v>22201</v>
      </c>
      <c r="B25" s="296" t="s">
        <v>132</v>
      </c>
      <c r="C25" s="296">
        <v>16104000</v>
      </c>
      <c r="D25" s="296">
        <v>0</v>
      </c>
      <c r="E25" s="296">
        <v>0</v>
      </c>
      <c r="F25" s="296">
        <v>40000000</v>
      </c>
      <c r="G25" s="296">
        <v>40000000</v>
      </c>
      <c r="H25" s="296">
        <v>40000000</v>
      </c>
      <c r="I25" s="296">
        <v>29792000</v>
      </c>
      <c r="J25" s="296">
        <v>29792000</v>
      </c>
      <c r="K25" s="296">
        <v>114991161</v>
      </c>
      <c r="L25" s="296">
        <v>0</v>
      </c>
      <c r="M25" s="296">
        <v>0</v>
      </c>
      <c r="N25" s="296">
        <v>0</v>
      </c>
      <c r="O25" s="296">
        <v>0</v>
      </c>
      <c r="P25" s="296">
        <v>1134000000</v>
      </c>
      <c r="Q25" s="296">
        <v>1134000000</v>
      </c>
      <c r="R25" s="296">
        <v>1134000000</v>
      </c>
      <c r="S25" s="876">
        <v>1934000000</v>
      </c>
      <c r="T25" s="296">
        <f t="shared" si="0"/>
        <v>800000000</v>
      </c>
    </row>
    <row r="26" spans="1:20" ht="30.95" customHeight="1">
      <c r="A26" s="671">
        <v>22202</v>
      </c>
      <c r="B26" s="296" t="s">
        <v>133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7">
        <f>SUM(K20:K25)</f>
        <v>13278805801</v>
      </c>
      <c r="L26" s="296">
        <v>1882952000</v>
      </c>
      <c r="M26" s="296">
        <f>1882952000</f>
        <v>1882952000</v>
      </c>
      <c r="N26" s="296">
        <v>1962952000</v>
      </c>
      <c r="O26" s="296">
        <v>2362952000</v>
      </c>
      <c r="P26" s="296">
        <v>2462952000</v>
      </c>
      <c r="Q26" s="296">
        <v>3000000000</v>
      </c>
      <c r="R26" s="296">
        <v>3400000000</v>
      </c>
      <c r="S26" s="876">
        <v>3700000000</v>
      </c>
      <c r="T26" s="296">
        <f t="shared" si="0"/>
        <v>300000000</v>
      </c>
    </row>
    <row r="27" spans="1:20" ht="30.95" customHeight="1">
      <c r="A27" s="671">
        <v>22203</v>
      </c>
      <c r="B27" s="296" t="s">
        <v>127</v>
      </c>
      <c r="C27" s="296">
        <v>300000000</v>
      </c>
      <c r="D27" s="296">
        <f>200000000-67356435+67356435</f>
        <v>200000000</v>
      </c>
      <c r="E27" s="296">
        <v>200000000</v>
      </c>
      <c r="F27" s="296">
        <v>200000000</v>
      </c>
      <c r="G27" s="296">
        <v>1220000000</v>
      </c>
      <c r="H27" s="296">
        <v>1220000000</v>
      </c>
      <c r="I27" s="296">
        <v>1620000000</v>
      </c>
      <c r="J27" s="296">
        <v>1620000000</v>
      </c>
      <c r="K27" s="296"/>
      <c r="L27" s="296">
        <v>51391200</v>
      </c>
      <c r="M27" s="296">
        <f t="shared" ref="M27:S27" si="12">51391200*70%</f>
        <v>35973840</v>
      </c>
      <c r="N27" s="296">
        <f t="shared" si="12"/>
        <v>35973840</v>
      </c>
      <c r="O27" s="296">
        <f t="shared" si="12"/>
        <v>35973840</v>
      </c>
      <c r="P27" s="296">
        <f t="shared" si="12"/>
        <v>35973840</v>
      </c>
      <c r="Q27" s="296">
        <f t="shared" si="12"/>
        <v>35973840</v>
      </c>
      <c r="R27" s="296">
        <f t="shared" si="12"/>
        <v>35973840</v>
      </c>
      <c r="S27" s="876">
        <f t="shared" si="12"/>
        <v>35973840</v>
      </c>
      <c r="T27" s="296">
        <f t="shared" si="0"/>
        <v>0</v>
      </c>
    </row>
    <row r="28" spans="1:20" ht="30.95" customHeight="1">
      <c r="A28" s="671">
        <v>22204</v>
      </c>
      <c r="B28" s="296" t="s">
        <v>128</v>
      </c>
      <c r="C28" s="296"/>
      <c r="D28" s="296"/>
      <c r="E28" s="296"/>
      <c r="F28" s="296">
        <v>0</v>
      </c>
      <c r="G28" s="296">
        <v>30000000</v>
      </c>
      <c r="H28" s="296">
        <v>30000000</v>
      </c>
      <c r="I28" s="296">
        <v>22344000</v>
      </c>
      <c r="J28" s="296">
        <v>22344000</v>
      </c>
      <c r="K28" s="296"/>
      <c r="L28" s="296">
        <v>22344000</v>
      </c>
      <c r="M28" s="296">
        <f t="shared" ref="M28:S28" si="13">22344000*70%</f>
        <v>15640799.999999998</v>
      </c>
      <c r="N28" s="296">
        <f t="shared" si="13"/>
        <v>15640799.999999998</v>
      </c>
      <c r="O28" s="296">
        <f t="shared" si="13"/>
        <v>15640799.999999998</v>
      </c>
      <c r="P28" s="296">
        <f t="shared" si="13"/>
        <v>15640799.999999998</v>
      </c>
      <c r="Q28" s="296">
        <f t="shared" si="13"/>
        <v>15640799.999999998</v>
      </c>
      <c r="R28" s="296">
        <f t="shared" si="13"/>
        <v>15640799.999999998</v>
      </c>
      <c r="S28" s="876">
        <f t="shared" si="13"/>
        <v>15640799.999999998</v>
      </c>
      <c r="T28" s="296">
        <f t="shared" si="0"/>
        <v>0</v>
      </c>
    </row>
    <row r="29" spans="1:20" ht="30.95" customHeight="1">
      <c r="A29" s="671">
        <v>22208</v>
      </c>
      <c r="B29" s="296" t="s">
        <v>604</v>
      </c>
      <c r="C29" s="296"/>
      <c r="D29" s="296"/>
      <c r="E29" s="296"/>
      <c r="F29" s="296"/>
      <c r="G29" s="296"/>
      <c r="H29" s="296"/>
      <c r="I29" s="296"/>
      <c r="J29" s="296"/>
      <c r="K29" s="296">
        <v>744800000</v>
      </c>
      <c r="L29" s="296">
        <v>14771092248</v>
      </c>
      <c r="M29" s="296">
        <f>14771092248/3500*6000+552911575</f>
        <v>25874784000.142857</v>
      </c>
      <c r="N29" s="296">
        <v>27779921040</v>
      </c>
      <c r="O29" s="296">
        <v>28424249424</v>
      </c>
      <c r="P29" s="296">
        <v>29324601424</v>
      </c>
      <c r="Q29" s="296">
        <v>30413433878</v>
      </c>
      <c r="R29" s="296">
        <v>29957196520</v>
      </c>
      <c r="S29" s="876">
        <v>31521400560</v>
      </c>
      <c r="T29" s="296">
        <f t="shared" si="0"/>
        <v>1564204040</v>
      </c>
    </row>
    <row r="30" spans="1:20" ht="30.95" customHeight="1">
      <c r="A30" s="671">
        <v>22210</v>
      </c>
      <c r="B30" s="296" t="s">
        <v>285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>
        <v>314991161</v>
      </c>
      <c r="M30" s="296">
        <f t="shared" ref="M30:R30" si="14">314991161*70%</f>
        <v>220493812.69999999</v>
      </c>
      <c r="N30" s="296">
        <f t="shared" si="14"/>
        <v>220493812.69999999</v>
      </c>
      <c r="O30" s="296">
        <f t="shared" si="14"/>
        <v>220493812.69999999</v>
      </c>
      <c r="P30" s="296">
        <f t="shared" si="14"/>
        <v>220493812.69999999</v>
      </c>
      <c r="Q30" s="296">
        <f t="shared" si="14"/>
        <v>220493812.69999999</v>
      </c>
      <c r="R30" s="296">
        <f t="shared" si="14"/>
        <v>220493812.69999999</v>
      </c>
      <c r="S30" s="876">
        <v>370000000</v>
      </c>
      <c r="T30" s="296">
        <f t="shared" si="0"/>
        <v>149506187.30000001</v>
      </c>
    </row>
    <row r="31" spans="1:20" ht="30.95" customHeight="1">
      <c r="A31" s="671">
        <v>22216</v>
      </c>
      <c r="B31" s="296" t="s">
        <v>108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>
        <v>100000000</v>
      </c>
      <c r="M31" s="296">
        <f t="shared" ref="M31:R31" si="15">100000000*70%</f>
        <v>70000000</v>
      </c>
      <c r="N31" s="296">
        <f t="shared" si="15"/>
        <v>70000000</v>
      </c>
      <c r="O31" s="296">
        <f t="shared" si="15"/>
        <v>70000000</v>
      </c>
      <c r="P31" s="296">
        <f t="shared" si="15"/>
        <v>70000000</v>
      </c>
      <c r="Q31" s="296">
        <f t="shared" si="15"/>
        <v>70000000</v>
      </c>
      <c r="R31" s="296">
        <f t="shared" si="15"/>
        <v>70000000</v>
      </c>
      <c r="S31" s="876">
        <v>300000000</v>
      </c>
      <c r="T31" s="296">
        <f t="shared" si="0"/>
        <v>230000000</v>
      </c>
    </row>
    <row r="32" spans="1:20" ht="30.95" customHeight="1">
      <c r="A32" s="671"/>
      <c r="B32" s="297" t="s">
        <v>92</v>
      </c>
      <c r="C32" s="296">
        <v>131200000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297920000</v>
      </c>
      <c r="L32" s="297">
        <f t="shared" ref="L32:Q32" si="16">SUM(L25:L31)</f>
        <v>17142770609</v>
      </c>
      <c r="M32" s="297">
        <f t="shared" si="16"/>
        <v>28099844452.842857</v>
      </c>
      <c r="N32" s="297">
        <f t="shared" si="16"/>
        <v>30084981492.700001</v>
      </c>
      <c r="O32" s="297">
        <f t="shared" si="16"/>
        <v>31129309876.700001</v>
      </c>
      <c r="P32" s="297">
        <f t="shared" si="16"/>
        <v>33263661876.700001</v>
      </c>
      <c r="Q32" s="297">
        <f t="shared" si="16"/>
        <v>34889542330.699997</v>
      </c>
      <c r="R32" s="297">
        <f>SUM(R25:R31)</f>
        <v>34833304972.699997</v>
      </c>
      <c r="S32" s="878">
        <f>SUM(S25:S31)</f>
        <v>37877015200</v>
      </c>
      <c r="T32" s="297">
        <f t="shared" si="0"/>
        <v>3043710227.3000031</v>
      </c>
    </row>
    <row r="33" spans="1:20" ht="30.95" customHeight="1">
      <c r="A33" s="666">
        <v>2230</v>
      </c>
      <c r="B33" s="297" t="s">
        <v>130</v>
      </c>
      <c r="C33" s="296"/>
      <c r="D33" s="296"/>
      <c r="E33" s="296"/>
      <c r="F33" s="296"/>
      <c r="G33" s="296"/>
      <c r="H33" s="296"/>
      <c r="I33" s="296"/>
      <c r="J33" s="296"/>
      <c r="K33" s="296">
        <v>0</v>
      </c>
      <c r="L33" s="296"/>
      <c r="M33" s="296"/>
      <c r="N33" s="296"/>
      <c r="O33" s="296"/>
      <c r="P33" s="296"/>
      <c r="Q33" s="296"/>
      <c r="R33" s="296"/>
      <c r="S33" s="876"/>
      <c r="T33" s="296">
        <f t="shared" si="0"/>
        <v>0</v>
      </c>
    </row>
    <row r="34" spans="1:20" ht="30.95" customHeight="1">
      <c r="A34" s="671">
        <v>22301</v>
      </c>
      <c r="B34" s="296" t="s">
        <v>49</v>
      </c>
      <c r="C34" s="296"/>
      <c r="D34" s="296"/>
      <c r="E34" s="296"/>
      <c r="F34" s="296"/>
      <c r="G34" s="296"/>
      <c r="H34" s="296"/>
      <c r="I34" s="296">
        <v>0</v>
      </c>
      <c r="J34" s="296">
        <v>11103400000</v>
      </c>
      <c r="K34" s="297">
        <f>SUM(K29:K33)</f>
        <v>1042720000</v>
      </c>
      <c r="L34" s="296">
        <v>1100000000</v>
      </c>
      <c r="M34" s="296">
        <f t="shared" ref="M34:R34" si="17">1100000000</f>
        <v>1100000000</v>
      </c>
      <c r="N34" s="296">
        <f t="shared" si="17"/>
        <v>1100000000</v>
      </c>
      <c r="O34" s="296">
        <f t="shared" si="17"/>
        <v>1100000000</v>
      </c>
      <c r="P34" s="296">
        <f t="shared" si="17"/>
        <v>1100000000</v>
      </c>
      <c r="Q34" s="296">
        <f t="shared" si="17"/>
        <v>1100000000</v>
      </c>
      <c r="R34" s="296">
        <f t="shared" si="17"/>
        <v>1100000000</v>
      </c>
      <c r="S34" s="876">
        <v>2100000000</v>
      </c>
      <c r="T34" s="296">
        <f t="shared" si="0"/>
        <v>1000000000</v>
      </c>
    </row>
    <row r="35" spans="1:20" ht="30.95" customHeight="1">
      <c r="A35" s="671">
        <v>22302</v>
      </c>
      <c r="B35" s="296" t="s">
        <v>249</v>
      </c>
      <c r="C35" s="296"/>
      <c r="D35" s="296"/>
      <c r="E35" s="296"/>
      <c r="F35" s="296"/>
      <c r="G35" s="296"/>
      <c r="H35" s="296"/>
      <c r="I35" s="296">
        <v>0</v>
      </c>
      <c r="J35" s="296">
        <v>1600000000</v>
      </c>
      <c r="K35" s="296"/>
      <c r="L35" s="296">
        <v>60000000</v>
      </c>
      <c r="M35" s="296">
        <f t="shared" ref="M35:S35" si="18">60000000*70%</f>
        <v>42000000</v>
      </c>
      <c r="N35" s="296">
        <f t="shared" si="18"/>
        <v>42000000</v>
      </c>
      <c r="O35" s="296">
        <f t="shared" si="18"/>
        <v>42000000</v>
      </c>
      <c r="P35" s="296">
        <f t="shared" si="18"/>
        <v>42000000</v>
      </c>
      <c r="Q35" s="296">
        <f t="shared" si="18"/>
        <v>42000000</v>
      </c>
      <c r="R35" s="296">
        <f t="shared" si="18"/>
        <v>42000000</v>
      </c>
      <c r="S35" s="876">
        <f t="shared" si="18"/>
        <v>42000000</v>
      </c>
      <c r="T35" s="296">
        <f t="shared" si="0"/>
        <v>0</v>
      </c>
    </row>
    <row r="36" spans="1:20" ht="30.95" customHeight="1">
      <c r="A36" s="671">
        <v>22313</v>
      </c>
      <c r="B36" s="296" t="s">
        <v>251</v>
      </c>
      <c r="C36" s="296"/>
      <c r="D36" s="296">
        <v>0</v>
      </c>
      <c r="E36" s="296">
        <v>0</v>
      </c>
      <c r="F36" s="296">
        <v>0</v>
      </c>
      <c r="G36" s="296">
        <v>45000000</v>
      </c>
      <c r="H36" s="296">
        <v>90000000</v>
      </c>
      <c r="I36" s="296">
        <v>67032000</v>
      </c>
      <c r="J36" s="296">
        <v>67032000</v>
      </c>
      <c r="K36" s="296">
        <v>860035456</v>
      </c>
      <c r="L36" s="670">
        <v>0</v>
      </c>
      <c r="M36" s="670">
        <v>0</v>
      </c>
      <c r="N36" s="670">
        <v>0</v>
      </c>
      <c r="O36" s="670">
        <v>0</v>
      </c>
      <c r="P36" s="670">
        <v>0</v>
      </c>
      <c r="Q36" s="670">
        <v>0</v>
      </c>
      <c r="R36" s="670">
        <v>0</v>
      </c>
      <c r="S36" s="877">
        <v>0</v>
      </c>
      <c r="T36" s="296">
        <f t="shared" si="0"/>
        <v>0</v>
      </c>
    </row>
    <row r="37" spans="1:20" ht="30.95" customHeight="1">
      <c r="A37" s="671"/>
      <c r="B37" s="297" t="s">
        <v>92</v>
      </c>
      <c r="C37" s="297">
        <f t="shared" ref="C37:J37" si="19">SUM(C23:C36)</f>
        <v>547304000</v>
      </c>
      <c r="D37" s="297">
        <f t="shared" si="19"/>
        <v>270000000</v>
      </c>
      <c r="E37" s="297">
        <f t="shared" si="19"/>
        <v>270000000</v>
      </c>
      <c r="F37" s="297">
        <f t="shared" si="19"/>
        <v>310000000</v>
      </c>
      <c r="G37" s="297">
        <f t="shared" si="19"/>
        <v>1477000000</v>
      </c>
      <c r="H37" s="297">
        <f t="shared" si="19"/>
        <v>1522000000</v>
      </c>
      <c r="I37" s="297">
        <f t="shared" si="19"/>
        <v>1844929600</v>
      </c>
      <c r="J37" s="297">
        <f t="shared" si="19"/>
        <v>14548329600</v>
      </c>
      <c r="K37" s="296">
        <v>60000000</v>
      </c>
      <c r="L37" s="761">
        <f t="shared" ref="L37:P37" si="20">SUM(L34:L36)</f>
        <v>1160000000</v>
      </c>
      <c r="M37" s="761">
        <f t="shared" si="20"/>
        <v>1142000000</v>
      </c>
      <c r="N37" s="761">
        <f t="shared" si="20"/>
        <v>1142000000</v>
      </c>
      <c r="O37" s="761">
        <f t="shared" si="20"/>
        <v>1142000000</v>
      </c>
      <c r="P37" s="761">
        <f t="shared" si="20"/>
        <v>1142000000</v>
      </c>
      <c r="Q37" s="761">
        <f>SUM(Q34:Q36)</f>
        <v>1142000000</v>
      </c>
      <c r="R37" s="761">
        <f>SUM(R34:R36)</f>
        <v>1142000000</v>
      </c>
      <c r="S37" s="879">
        <f>SUM(S34:S36)</f>
        <v>2142000000</v>
      </c>
      <c r="T37" s="297">
        <f t="shared" si="0"/>
        <v>1000000000</v>
      </c>
    </row>
    <row r="38" spans="1:20" ht="30.95" customHeight="1">
      <c r="A38" s="666">
        <v>270</v>
      </c>
      <c r="B38" s="297" t="s">
        <v>253</v>
      </c>
      <c r="C38" s="733" t="e">
        <f>C37++#REF!+#REF!+C14+C6</f>
        <v>#REF!</v>
      </c>
      <c r="D38" s="733" t="e">
        <f>D37+#REF!+#REF!+D14+D6</f>
        <v>#REF!</v>
      </c>
      <c r="E38" s="733" t="e">
        <f>E37+#REF!+#REF!+E14+E6</f>
        <v>#REF!</v>
      </c>
      <c r="F38" s="297" t="e">
        <f>F37+#REF!+#REF!+F14+F6</f>
        <v>#REF!</v>
      </c>
      <c r="G38" s="297" t="e">
        <f>G37+#REF!+#REF!+G14+G6</f>
        <v>#REF!</v>
      </c>
      <c r="H38" s="297" t="e">
        <f>H37+#REF!+#REF!+H14+H6</f>
        <v>#REF!</v>
      </c>
      <c r="I38" s="297" t="e">
        <f>I37+#REF!+#REF!+I14+I6</f>
        <v>#REF!</v>
      </c>
      <c r="J38" s="297" t="e">
        <f>J37+#REF!+#REF!+J14+J6</f>
        <v>#REF!</v>
      </c>
      <c r="K38" s="296">
        <v>0</v>
      </c>
      <c r="L38" s="672"/>
      <c r="M38" s="672"/>
      <c r="N38" s="672"/>
      <c r="O38" s="672"/>
      <c r="P38" s="672"/>
      <c r="Q38" s="672"/>
      <c r="R38" s="672"/>
      <c r="S38" s="880"/>
      <c r="T38" s="296">
        <f t="shared" si="0"/>
        <v>0</v>
      </c>
    </row>
    <row r="39" spans="1:20" ht="30.95" customHeight="1">
      <c r="A39" s="666">
        <v>2710</v>
      </c>
      <c r="B39" s="297" t="s">
        <v>252</v>
      </c>
      <c r="C39" s="673"/>
      <c r="D39" s="673"/>
      <c r="E39" s="673"/>
      <c r="F39" s="673"/>
      <c r="G39" s="673"/>
      <c r="H39" s="673"/>
      <c r="I39" s="673"/>
      <c r="J39" s="673"/>
      <c r="K39" s="733">
        <f>SUM(K36:K38)</f>
        <v>920035456</v>
      </c>
      <c r="L39" s="674"/>
      <c r="M39" s="674"/>
      <c r="N39" s="674"/>
      <c r="O39" s="674"/>
      <c r="P39" s="674"/>
      <c r="Q39" s="674"/>
      <c r="R39" s="674"/>
      <c r="S39" s="881"/>
      <c r="T39" s="296">
        <f t="shared" si="0"/>
        <v>0</v>
      </c>
    </row>
    <row r="40" spans="1:20" ht="30.95" customHeight="1">
      <c r="A40" s="671">
        <v>27601</v>
      </c>
      <c r="B40" s="296" t="s">
        <v>264</v>
      </c>
      <c r="C40" s="673"/>
      <c r="D40" s="673"/>
      <c r="E40" s="673"/>
      <c r="F40" s="670" t="s">
        <v>4</v>
      </c>
      <c r="G40" s="670"/>
      <c r="H40" s="670"/>
      <c r="I40" s="670"/>
      <c r="J40" s="670"/>
      <c r="K40" s="733" t="e">
        <f>K39+K34+K26+#REF!+K6</f>
        <v>#REF!</v>
      </c>
      <c r="L40" s="670">
        <v>0</v>
      </c>
      <c r="M40" s="670">
        <v>0</v>
      </c>
      <c r="N40" s="670">
        <v>0</v>
      </c>
      <c r="O40" s="670">
        <v>0</v>
      </c>
      <c r="P40" s="670">
        <v>0</v>
      </c>
      <c r="Q40" s="670">
        <v>0</v>
      </c>
      <c r="R40" s="670">
        <v>0</v>
      </c>
      <c r="S40" s="877">
        <v>0</v>
      </c>
      <c r="T40" s="296">
        <f t="shared" si="0"/>
        <v>0</v>
      </c>
    </row>
    <row r="41" spans="1:20" ht="30.95" customHeight="1">
      <c r="A41" s="671">
        <v>27402</v>
      </c>
      <c r="B41" s="296" t="s">
        <v>265</v>
      </c>
      <c r="C41" s="673"/>
      <c r="D41" s="673"/>
      <c r="E41" s="673"/>
      <c r="F41" s="673"/>
      <c r="G41" s="673"/>
      <c r="H41" s="673"/>
      <c r="I41" s="673"/>
      <c r="J41" s="673"/>
      <c r="K41" s="673"/>
      <c r="L41" s="734">
        <v>1108000000</v>
      </c>
      <c r="M41" s="734">
        <f>1108000000*70%</f>
        <v>775600000</v>
      </c>
      <c r="N41" s="734">
        <v>2842000000</v>
      </c>
      <c r="O41" s="734"/>
      <c r="P41" s="734"/>
      <c r="Q41" s="734"/>
      <c r="R41" s="734"/>
      <c r="S41" s="882"/>
      <c r="T41" s="296">
        <f t="shared" si="0"/>
        <v>0</v>
      </c>
    </row>
    <row r="42" spans="1:20" ht="30.95" customHeight="1">
      <c r="A42" s="671">
        <v>27604</v>
      </c>
      <c r="B42" s="296" t="s">
        <v>149</v>
      </c>
      <c r="C42" s="673"/>
      <c r="D42" s="673"/>
      <c r="E42" s="673"/>
      <c r="F42" s="673"/>
      <c r="G42" s="673"/>
      <c r="H42" s="673"/>
      <c r="I42" s="673"/>
      <c r="J42" s="673"/>
      <c r="K42" s="673"/>
      <c r="L42" s="734">
        <v>297920000</v>
      </c>
      <c r="M42" s="734">
        <f>297920000</f>
        <v>297920000</v>
      </c>
      <c r="N42" s="762">
        <v>0</v>
      </c>
      <c r="O42" s="762">
        <v>0</v>
      </c>
      <c r="P42" s="762">
        <v>0</v>
      </c>
      <c r="Q42" s="762">
        <v>0</v>
      </c>
      <c r="R42" s="762">
        <v>0</v>
      </c>
      <c r="S42" s="883">
        <v>0</v>
      </c>
      <c r="T42" s="296">
        <f t="shared" si="0"/>
        <v>0</v>
      </c>
    </row>
    <row r="43" spans="1:20" ht="30.95" customHeight="1">
      <c r="A43" s="671">
        <v>27608</v>
      </c>
      <c r="B43" s="296" t="s">
        <v>983</v>
      </c>
      <c r="C43" s="673"/>
      <c r="D43" s="673"/>
      <c r="E43" s="673"/>
      <c r="F43" s="673"/>
      <c r="G43" s="673"/>
      <c r="H43" s="673"/>
      <c r="I43" s="673"/>
      <c r="J43" s="673"/>
      <c r="K43" s="673"/>
      <c r="L43" s="734">
        <v>5110000000</v>
      </c>
      <c r="M43" s="734">
        <f>5110000000*70%+894885600+638114400</f>
        <v>5110000000</v>
      </c>
      <c r="N43" s="734">
        <v>3158000000</v>
      </c>
      <c r="O43" s="762">
        <v>0</v>
      </c>
      <c r="P43" s="762">
        <v>0</v>
      </c>
      <c r="Q43" s="762">
        <v>0</v>
      </c>
      <c r="R43" s="762">
        <v>0</v>
      </c>
      <c r="S43" s="883">
        <v>0</v>
      </c>
      <c r="T43" s="296">
        <f t="shared" si="0"/>
        <v>0</v>
      </c>
    </row>
    <row r="44" spans="1:20" ht="30.95" customHeight="1">
      <c r="A44" s="671"/>
      <c r="B44" s="297" t="s">
        <v>92</v>
      </c>
      <c r="C44" s="673"/>
      <c r="D44" s="673"/>
      <c r="E44" s="673"/>
      <c r="F44" s="673"/>
      <c r="G44" s="673"/>
      <c r="H44" s="673"/>
      <c r="I44" s="673"/>
      <c r="J44" s="673"/>
      <c r="K44" s="673"/>
      <c r="L44" s="734"/>
      <c r="M44" s="734"/>
      <c r="N44" s="734"/>
      <c r="O44" s="762"/>
      <c r="P44" s="763">
        <f>SUM(P39:P43)</f>
        <v>0</v>
      </c>
      <c r="Q44" s="763">
        <f>SUM(Q39:Q43)</f>
        <v>0</v>
      </c>
      <c r="R44" s="763">
        <f>SUM(R39:R43)</f>
        <v>0</v>
      </c>
      <c r="S44" s="884">
        <f>SUM(S39:S43)</f>
        <v>0</v>
      </c>
      <c r="T44" s="296">
        <f t="shared" si="0"/>
        <v>0</v>
      </c>
    </row>
    <row r="45" spans="1:20" ht="30.95" customHeight="1">
      <c r="A45" s="666">
        <v>2510</v>
      </c>
      <c r="B45" s="297" t="s">
        <v>1296</v>
      </c>
      <c r="C45" s="673"/>
      <c r="D45" s="673"/>
      <c r="E45" s="673"/>
      <c r="F45" s="673"/>
      <c r="G45" s="673"/>
      <c r="H45" s="673"/>
      <c r="I45" s="673"/>
      <c r="J45" s="673"/>
      <c r="K45" s="673"/>
      <c r="L45" s="734"/>
      <c r="M45" s="734"/>
      <c r="N45" s="734"/>
      <c r="O45" s="762"/>
      <c r="P45" s="763"/>
      <c r="Q45" s="763"/>
      <c r="R45" s="763"/>
      <c r="S45" s="884"/>
      <c r="T45" s="296">
        <f t="shared" si="0"/>
        <v>0</v>
      </c>
    </row>
    <row r="46" spans="1:20" ht="30.95" customHeight="1">
      <c r="A46" s="671">
        <v>25102</v>
      </c>
      <c r="B46" s="296" t="s">
        <v>290</v>
      </c>
      <c r="C46" s="673"/>
      <c r="D46" s="673"/>
      <c r="E46" s="673"/>
      <c r="F46" s="673"/>
      <c r="G46" s="673"/>
      <c r="H46" s="673"/>
      <c r="I46" s="673"/>
      <c r="J46" s="673"/>
      <c r="K46" s="673"/>
      <c r="L46" s="734"/>
      <c r="M46" s="734"/>
      <c r="N46" s="734"/>
      <c r="O46" s="762"/>
      <c r="P46" s="762"/>
      <c r="Q46" s="296">
        <v>1167500000</v>
      </c>
      <c r="R46" s="296">
        <v>667500000</v>
      </c>
      <c r="S46" s="876">
        <v>167000000</v>
      </c>
      <c r="T46" s="296">
        <f t="shared" si="0"/>
        <v>-500500000</v>
      </c>
    </row>
    <row r="47" spans="1:20" ht="30.95" customHeight="1">
      <c r="A47" s="671"/>
      <c r="B47" s="297" t="s">
        <v>92</v>
      </c>
      <c r="C47" s="673"/>
      <c r="D47" s="673"/>
      <c r="E47" s="673"/>
      <c r="F47" s="673"/>
      <c r="G47" s="673"/>
      <c r="H47" s="673"/>
      <c r="I47" s="673"/>
      <c r="J47" s="673"/>
      <c r="K47" s="673"/>
      <c r="L47" s="734"/>
      <c r="M47" s="734"/>
      <c r="N47" s="734"/>
      <c r="O47" s="762"/>
      <c r="P47" s="763"/>
      <c r="Q47" s="297">
        <f>SUM(Q46)</f>
        <v>1167500000</v>
      </c>
      <c r="R47" s="297">
        <f>SUM(R46)</f>
        <v>667500000</v>
      </c>
      <c r="S47" s="878">
        <f>SUM(S46)</f>
        <v>167000000</v>
      </c>
      <c r="T47" s="297">
        <f t="shared" si="0"/>
        <v>-500500000</v>
      </c>
    </row>
    <row r="48" spans="1:20" ht="30.95" customHeight="1">
      <c r="A48" s="666">
        <v>2630</v>
      </c>
      <c r="B48" s="297" t="s">
        <v>927</v>
      </c>
      <c r="C48" s="673"/>
      <c r="D48" s="673"/>
      <c r="E48" s="673"/>
      <c r="F48" s="673"/>
      <c r="G48" s="673"/>
      <c r="H48" s="673"/>
      <c r="I48" s="673"/>
      <c r="J48" s="673"/>
      <c r="K48" s="673"/>
      <c r="L48" s="734"/>
      <c r="M48" s="734"/>
      <c r="N48" s="734"/>
      <c r="O48" s="762"/>
      <c r="P48" s="762"/>
      <c r="Q48" s="762"/>
      <c r="R48" s="762"/>
      <c r="S48" s="883"/>
      <c r="T48" s="296">
        <f t="shared" si="0"/>
        <v>0</v>
      </c>
    </row>
    <row r="49" spans="1:20" ht="30.95" customHeight="1">
      <c r="A49" s="671">
        <v>26301</v>
      </c>
      <c r="B49" s="296" t="s">
        <v>929</v>
      </c>
      <c r="C49" s="673"/>
      <c r="D49" s="673"/>
      <c r="E49" s="673"/>
      <c r="F49" s="673"/>
      <c r="G49" s="673"/>
      <c r="H49" s="673"/>
      <c r="I49" s="673"/>
      <c r="J49" s="673"/>
      <c r="K49" s="673"/>
      <c r="L49" s="734"/>
      <c r="M49" s="734"/>
      <c r="N49" s="734"/>
      <c r="O49" s="762"/>
      <c r="P49" s="296">
        <v>500000000</v>
      </c>
      <c r="Q49" s="296">
        <v>500000000</v>
      </c>
      <c r="R49" s="296">
        <v>1000000000</v>
      </c>
      <c r="S49" s="876">
        <v>1500000000</v>
      </c>
      <c r="T49" s="296">
        <f t="shared" si="0"/>
        <v>500000000</v>
      </c>
    </row>
    <row r="50" spans="1:20" ht="30.95" customHeight="1">
      <c r="A50" s="671"/>
      <c r="B50" s="297" t="s">
        <v>92</v>
      </c>
      <c r="C50" s="673"/>
      <c r="D50" s="673"/>
      <c r="E50" s="673"/>
      <c r="F50" s="673"/>
      <c r="G50" s="673"/>
      <c r="H50" s="673"/>
      <c r="I50" s="673"/>
      <c r="J50" s="673"/>
      <c r="K50" s="673"/>
      <c r="L50" s="674">
        <f>SUM(L40:L43)</f>
        <v>6515920000</v>
      </c>
      <c r="M50" s="674">
        <f>SUM(M40:M43)</f>
        <v>6183520000</v>
      </c>
      <c r="N50" s="674">
        <f>SUM(N40:N43)</f>
        <v>6000000000</v>
      </c>
      <c r="O50" s="763">
        <f>SUM(O40:O43)</f>
        <v>0</v>
      </c>
      <c r="P50" s="297">
        <f>SUM(P49)</f>
        <v>500000000</v>
      </c>
      <c r="Q50" s="297">
        <f>SUM(Q49)</f>
        <v>500000000</v>
      </c>
      <c r="R50" s="297">
        <f>SUM(R49)</f>
        <v>1000000000</v>
      </c>
      <c r="S50" s="878">
        <f>SUM(S49)</f>
        <v>1500000000</v>
      </c>
      <c r="T50" s="297">
        <f t="shared" si="0"/>
        <v>500000000</v>
      </c>
    </row>
    <row r="51" spans="1:20" ht="30.95" customHeight="1">
      <c r="A51" s="671"/>
      <c r="B51" s="297" t="s">
        <v>432</v>
      </c>
      <c r="C51" s="673"/>
      <c r="D51" s="673"/>
      <c r="E51" s="673"/>
      <c r="F51" s="673"/>
      <c r="G51" s="673"/>
      <c r="H51" s="673"/>
      <c r="I51" s="673"/>
      <c r="J51" s="673"/>
      <c r="K51" s="673"/>
      <c r="L51" s="674">
        <f>L50+L37+L32+L23+L7</f>
        <v>86358046908</v>
      </c>
      <c r="M51" s="674">
        <f>M50+M37+M32+M23+M7</f>
        <v>132466284397.14285</v>
      </c>
      <c r="N51" s="674">
        <f>N50+N37+N32+N23+N7</f>
        <v>132095741109.70999</v>
      </c>
      <c r="O51" s="674">
        <f>O50+O37+O32+O23+O7</f>
        <v>135545848693.70999</v>
      </c>
      <c r="P51" s="674">
        <f>P50+P37+P32+P23+P7</f>
        <v>159410627573.70999</v>
      </c>
      <c r="Q51" s="674">
        <f>Q50+Q37+Q32+Q23+Q7+Q10+Q47</f>
        <v>180834385467.70999</v>
      </c>
      <c r="R51" s="674">
        <f>R50+R37+R32+R23+R7+R10+R47</f>
        <v>193704398029.70999</v>
      </c>
      <c r="S51" s="881">
        <f>S50+S37+S32+S23+S7+S10+S47+S44</f>
        <v>218265538337.01001</v>
      </c>
      <c r="T51" s="297">
        <f t="shared" si="0"/>
        <v>24561140307.300018</v>
      </c>
    </row>
    <row r="55" spans="1:20" ht="30.95" customHeight="1">
      <c r="L55" s="764"/>
    </row>
  </sheetData>
  <pageMargins left="0.5" right="0.25" top="0.55000000000000004" bottom="0.51" header="0.17" footer="0.17"/>
  <pageSetup scale="45" orientation="portrait" r:id="rId1"/>
  <headerFooter>
    <oddHeader>&amp;C&amp;"Algerian,Bold"&amp;36CIIDANKA QARANKA SOMALILAND</oddHeader>
    <oddFooter>&amp;R&amp;"Times New Roman,Bold"&amp;14 29</oddFooter>
  </headerFooter>
  <ignoredErrors>
    <ignoredError sqref="O22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48"/>
  <sheetViews>
    <sheetView view="pageBreakPreview" topLeftCell="A31" zoomScale="60" workbookViewId="0">
      <selection activeCell="S46" sqref="S46"/>
    </sheetView>
  </sheetViews>
  <sheetFormatPr defaultRowHeight="27.95" customHeight="1"/>
  <cols>
    <col min="1" max="1" width="16.6640625" style="568" bestFit="1" customWidth="1"/>
    <col min="2" max="2" width="79.83203125" style="528" customWidth="1"/>
    <col min="3" max="3" width="16" style="528" hidden="1" customWidth="1"/>
    <col min="4" max="4" width="16.6640625" style="528" hidden="1" customWidth="1"/>
    <col min="5" max="5" width="18" style="528" hidden="1" customWidth="1"/>
    <col min="6" max="6" width="16.6640625" style="528" hidden="1" customWidth="1"/>
    <col min="7" max="8" width="0.1640625" style="528" hidden="1" customWidth="1"/>
    <col min="9" max="9" width="2.6640625" style="528" hidden="1" customWidth="1"/>
    <col min="10" max="10" width="16.6640625" style="528" hidden="1" customWidth="1"/>
    <col min="11" max="11" width="18" style="528" hidden="1" customWidth="1"/>
    <col min="12" max="13" width="28" style="528" hidden="1" customWidth="1"/>
    <col min="14" max="14" width="36.83203125" style="498" hidden="1" customWidth="1"/>
    <col min="15" max="17" width="31" style="498" hidden="1" customWidth="1"/>
    <col min="18" max="20" width="31" style="498" customWidth="1"/>
    <col min="21" max="16384" width="9.33203125" style="528"/>
  </cols>
  <sheetData>
    <row r="1" spans="1:20" ht="27.95" customHeight="1">
      <c r="A1" s="544" t="s">
        <v>40</v>
      </c>
      <c r="B1" s="545" t="s">
        <v>1003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246"/>
      <c r="O1" s="246"/>
      <c r="P1" s="246"/>
      <c r="Q1" s="246"/>
      <c r="R1" s="246"/>
      <c r="S1" s="246"/>
      <c r="T1" s="246"/>
    </row>
    <row r="2" spans="1:20" ht="27.95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104</v>
      </c>
      <c r="J2" s="482" t="s">
        <v>109</v>
      </c>
      <c r="K2" s="482" t="s">
        <v>116</v>
      </c>
      <c r="L2" s="482" t="s">
        <v>151</v>
      </c>
      <c r="M2" s="482" t="s">
        <v>257</v>
      </c>
      <c r="N2" s="280" t="s">
        <v>440</v>
      </c>
      <c r="O2" s="280" t="s">
        <v>814</v>
      </c>
      <c r="P2" s="280" t="s">
        <v>874</v>
      </c>
      <c r="Q2" s="280" t="s">
        <v>972</v>
      </c>
      <c r="R2" s="280" t="s">
        <v>1159</v>
      </c>
      <c r="S2" s="280" t="s">
        <v>1319</v>
      </c>
      <c r="T2" s="280" t="s">
        <v>56</v>
      </c>
    </row>
    <row r="3" spans="1:20" ht="27.95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478"/>
      <c r="N3" s="280"/>
      <c r="O3" s="280"/>
      <c r="P3" s="280"/>
      <c r="Q3" s="280"/>
      <c r="R3" s="280"/>
      <c r="S3" s="280"/>
      <c r="T3" s="280"/>
    </row>
    <row r="4" spans="1:20" ht="27.95" customHeight="1">
      <c r="A4" s="392">
        <v>21101</v>
      </c>
      <c r="B4" s="246" t="s">
        <v>28</v>
      </c>
      <c r="C4" s="246">
        <v>65523000</v>
      </c>
      <c r="D4" s="246">
        <v>101148000</v>
      </c>
      <c r="E4" s="246">
        <v>98052000</v>
      </c>
      <c r="F4" s="246">
        <v>85584000</v>
      </c>
      <c r="G4" s="246">
        <f>84564000+2460000</f>
        <v>87024000</v>
      </c>
      <c r="H4" s="246">
        <f>84564000+2460000+17376000</f>
        <v>104400000</v>
      </c>
      <c r="I4" s="246">
        <v>178152000</v>
      </c>
      <c r="J4" s="246">
        <f>184719600+54000000+6000000</f>
        <v>244719600</v>
      </c>
      <c r="K4" s="246">
        <f>244719600+12000000-4149600</f>
        <v>252570000</v>
      </c>
      <c r="L4" s="246">
        <v>272912400</v>
      </c>
      <c r="M4" s="246">
        <f>shaqaalaha2011!H28+36000000</f>
        <v>649204800</v>
      </c>
      <c r="N4" s="246">
        <v>650047200</v>
      </c>
      <c r="O4" s="246">
        <v>903770400</v>
      </c>
      <c r="P4" s="246">
        <v>1169962560</v>
      </c>
      <c r="Q4" s="246">
        <v>1259032320</v>
      </c>
      <c r="R4" s="246">
        <v>1327697280</v>
      </c>
      <c r="S4" s="840">
        <v>1727874720</v>
      </c>
      <c r="T4" s="246">
        <f>S4-R4</f>
        <v>400177440</v>
      </c>
    </row>
    <row r="5" spans="1:20" ht="27.95" customHeight="1">
      <c r="A5" s="392">
        <v>21102</v>
      </c>
      <c r="B5" s="246" t="s">
        <v>554</v>
      </c>
      <c r="C5" s="246">
        <v>2371000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v>0</v>
      </c>
      <c r="L5" s="246">
        <v>0</v>
      </c>
      <c r="M5" s="246">
        <v>0</v>
      </c>
      <c r="N5" s="246">
        <v>97200000</v>
      </c>
      <c r="O5" s="246">
        <v>97200000</v>
      </c>
      <c r="P5" s="246">
        <v>194400000</v>
      </c>
      <c r="Q5" s="246">
        <v>194400000</v>
      </c>
      <c r="R5" s="246">
        <v>194400000</v>
      </c>
      <c r="S5" s="840">
        <v>291600000</v>
      </c>
      <c r="T5" s="246">
        <f t="shared" ref="T5:T46" si="0">S5-R5</f>
        <v>97200000</v>
      </c>
    </row>
    <row r="6" spans="1:20" ht="27.95" customHeight="1">
      <c r="A6" s="392">
        <v>21103</v>
      </c>
      <c r="B6" s="246" t="s">
        <v>30</v>
      </c>
      <c r="C6" s="246"/>
      <c r="D6" s="246"/>
      <c r="E6" s="246"/>
      <c r="F6" s="246"/>
      <c r="G6" s="246"/>
      <c r="H6" s="246">
        <v>0</v>
      </c>
      <c r="I6" s="246">
        <v>58500000</v>
      </c>
      <c r="J6" s="246">
        <v>117000000</v>
      </c>
      <c r="K6" s="246">
        <v>60000000</v>
      </c>
      <c r="L6" s="246">
        <f>60000000+3600000</f>
        <v>63600000</v>
      </c>
      <c r="M6" s="246">
        <f>60000000+3600000-21600000</f>
        <v>42000000</v>
      </c>
      <c r="N6" s="246">
        <v>70800000</v>
      </c>
      <c r="O6" s="246">
        <v>162000000</v>
      </c>
      <c r="P6" s="246">
        <v>306000000</v>
      </c>
      <c r="Q6" s="246">
        <v>306000000</v>
      </c>
      <c r="R6" s="246">
        <v>306000000</v>
      </c>
      <c r="S6" s="840">
        <v>378000000</v>
      </c>
      <c r="T6" s="246">
        <f t="shared" si="0"/>
        <v>72000000</v>
      </c>
    </row>
    <row r="7" spans="1:20" ht="27.95" customHeight="1">
      <c r="A7" s="392">
        <v>21105</v>
      </c>
      <c r="B7" s="246" t="s">
        <v>1367</v>
      </c>
      <c r="C7" s="246">
        <v>1450000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6">
        <v>3814200</v>
      </c>
      <c r="K7" s="246">
        <v>117000000</v>
      </c>
      <c r="L7" s="246">
        <v>72000000</v>
      </c>
      <c r="M7" s="246">
        <v>72000000</v>
      </c>
      <c r="N7" s="246">
        <v>24000000</v>
      </c>
      <c r="O7" s="246">
        <v>124800000</v>
      </c>
      <c r="P7" s="246">
        <v>124800000</v>
      </c>
      <c r="Q7" s="246">
        <v>193800000</v>
      </c>
      <c r="R7" s="246">
        <v>216100000</v>
      </c>
      <c r="S7" s="840">
        <v>1362000000</v>
      </c>
      <c r="T7" s="246">
        <f t="shared" si="0"/>
        <v>1145900000</v>
      </c>
    </row>
    <row r="8" spans="1:20" ht="27.95" customHeight="1">
      <c r="A8" s="392"/>
      <c r="B8" s="280" t="s">
        <v>92</v>
      </c>
      <c r="C8" s="246"/>
      <c r="D8" s="246"/>
      <c r="E8" s="246"/>
      <c r="F8" s="246"/>
      <c r="G8" s="246"/>
      <c r="H8" s="246"/>
      <c r="I8" s="246"/>
      <c r="J8" s="246"/>
      <c r="K8" s="246">
        <v>0</v>
      </c>
      <c r="L8" s="280">
        <f t="shared" ref="L8:P8" si="1">SUM(L4:L7)</f>
        <v>408512400</v>
      </c>
      <c r="M8" s="280">
        <f t="shared" si="1"/>
        <v>763204800</v>
      </c>
      <c r="N8" s="280">
        <f t="shared" si="1"/>
        <v>842047200</v>
      </c>
      <c r="O8" s="280">
        <f t="shared" si="1"/>
        <v>1287770400</v>
      </c>
      <c r="P8" s="280">
        <f t="shared" si="1"/>
        <v>1795162560</v>
      </c>
      <c r="Q8" s="280">
        <f>SUM(Q4:Q7)</f>
        <v>1953232320</v>
      </c>
      <c r="R8" s="280">
        <f>SUM(R4:R7)</f>
        <v>2044197280</v>
      </c>
      <c r="S8" s="851">
        <f>SUM(S4:S7)</f>
        <v>3759474720</v>
      </c>
      <c r="T8" s="280">
        <f t="shared" si="0"/>
        <v>1715277440</v>
      </c>
    </row>
    <row r="9" spans="1:20" ht="27.95" customHeight="1">
      <c r="A9" s="476">
        <v>220</v>
      </c>
      <c r="B9" s="280" t="s">
        <v>225</v>
      </c>
      <c r="C9" s="246">
        <v>10377640</v>
      </c>
      <c r="D9" s="246">
        <v>6500000</v>
      </c>
      <c r="E9" s="246">
        <v>6500000</v>
      </c>
      <c r="F9" s="246">
        <v>6500000</v>
      </c>
      <c r="G9" s="246">
        <v>12000000</v>
      </c>
      <c r="H9" s="246">
        <v>20000000</v>
      </c>
      <c r="I9" s="246">
        <v>26812800</v>
      </c>
      <c r="J9" s="246">
        <v>50000000</v>
      </c>
      <c r="K9" s="246">
        <v>42167597</v>
      </c>
      <c r="L9" s="246"/>
      <c r="M9" s="246"/>
      <c r="N9" s="246"/>
      <c r="O9" s="246"/>
      <c r="P9" s="246"/>
      <c r="Q9" s="246"/>
      <c r="R9" s="246"/>
      <c r="S9" s="840"/>
      <c r="T9" s="246">
        <f t="shared" si="0"/>
        <v>0</v>
      </c>
    </row>
    <row r="10" spans="1:20" ht="27.95" customHeight="1">
      <c r="A10" s="476">
        <v>2210</v>
      </c>
      <c r="B10" s="280" t="s">
        <v>226</v>
      </c>
      <c r="C10" s="246">
        <v>4785070</v>
      </c>
      <c r="D10" s="246">
        <v>8962370</v>
      </c>
      <c r="E10" s="246">
        <v>8962370</v>
      </c>
      <c r="F10" s="246">
        <v>8962370</v>
      </c>
      <c r="G10" s="246">
        <v>8000000</v>
      </c>
      <c r="H10" s="246">
        <v>25000000</v>
      </c>
      <c r="I10" s="246">
        <v>59584000</v>
      </c>
      <c r="J10" s="246">
        <v>59584000</v>
      </c>
      <c r="K10" s="246">
        <f>124800000+10800000</f>
        <v>135600000</v>
      </c>
      <c r="L10" s="246"/>
      <c r="M10" s="246"/>
      <c r="N10" s="246"/>
      <c r="O10" s="246"/>
      <c r="P10" s="246"/>
      <c r="Q10" s="246"/>
      <c r="R10" s="246"/>
      <c r="S10" s="840"/>
      <c r="T10" s="246">
        <f t="shared" si="0"/>
        <v>0</v>
      </c>
    </row>
    <row r="11" spans="1:20" ht="27.95" customHeight="1">
      <c r="A11" s="392">
        <v>22101</v>
      </c>
      <c r="B11" s="246" t="s">
        <v>33</v>
      </c>
      <c r="C11" s="246"/>
      <c r="D11" s="246"/>
      <c r="E11" s="246"/>
      <c r="F11" s="246"/>
      <c r="G11" s="246"/>
      <c r="H11" s="246"/>
      <c r="I11" s="246"/>
      <c r="J11" s="246"/>
      <c r="K11" s="246">
        <v>37240000</v>
      </c>
      <c r="L11" s="246">
        <v>33516000</v>
      </c>
      <c r="M11" s="246">
        <f>33516000*70%</f>
        <v>23461200</v>
      </c>
      <c r="N11" s="246">
        <f>33516000*70%</f>
        <v>23461200</v>
      </c>
      <c r="O11" s="246">
        <f>33516000*70%</f>
        <v>23461200</v>
      </c>
      <c r="P11" s="246">
        <v>33961200</v>
      </c>
      <c r="Q11" s="246">
        <v>33961200</v>
      </c>
      <c r="R11" s="246">
        <v>100000000</v>
      </c>
      <c r="S11" s="840">
        <v>100000000</v>
      </c>
      <c r="T11" s="246">
        <f t="shared" si="0"/>
        <v>0</v>
      </c>
    </row>
    <row r="12" spans="1:20" ht="27.95" customHeight="1">
      <c r="A12" s="392">
        <v>22102</v>
      </c>
      <c r="B12" s="246" t="s">
        <v>124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22344000</v>
      </c>
      <c r="J12" s="246">
        <v>35000000</v>
      </c>
      <c r="K12" s="246">
        <v>44688000</v>
      </c>
      <c r="L12" s="246">
        <v>15000000</v>
      </c>
      <c r="M12" s="246">
        <f>15000000*70%</f>
        <v>10500000</v>
      </c>
      <c r="N12" s="246">
        <f>15000000*70%</f>
        <v>10500000</v>
      </c>
      <c r="O12" s="246">
        <f>15000000*70%</f>
        <v>10500000</v>
      </c>
      <c r="P12" s="246">
        <v>0</v>
      </c>
      <c r="Q12" s="246">
        <v>0</v>
      </c>
      <c r="R12" s="246">
        <v>0</v>
      </c>
      <c r="S12" s="840">
        <v>0</v>
      </c>
      <c r="T12" s="246">
        <f t="shared" si="0"/>
        <v>0</v>
      </c>
    </row>
    <row r="13" spans="1:20" s="492" customFormat="1" ht="27.95" customHeight="1">
      <c r="A13" s="392">
        <v>22104</v>
      </c>
      <c r="B13" s="246" t="s">
        <v>157</v>
      </c>
      <c r="C13" s="280">
        <f t="shared" ref="C13:J13" si="2">SUM(C8:C12)</f>
        <v>15162710</v>
      </c>
      <c r="D13" s="280">
        <f t="shared" si="2"/>
        <v>15462370</v>
      </c>
      <c r="E13" s="280">
        <f t="shared" si="2"/>
        <v>15462370</v>
      </c>
      <c r="F13" s="280">
        <f t="shared" si="2"/>
        <v>15462370</v>
      </c>
      <c r="G13" s="280">
        <f t="shared" si="2"/>
        <v>20000000</v>
      </c>
      <c r="H13" s="280">
        <f t="shared" si="2"/>
        <v>45000000</v>
      </c>
      <c r="I13" s="280">
        <f t="shared" si="2"/>
        <v>108740800</v>
      </c>
      <c r="J13" s="280">
        <f t="shared" si="2"/>
        <v>144584000</v>
      </c>
      <c r="K13" s="246">
        <v>14896000</v>
      </c>
      <c r="L13" s="246">
        <v>120000000</v>
      </c>
      <c r="M13" s="246">
        <f>L13*70%</f>
        <v>84000000</v>
      </c>
      <c r="N13" s="246">
        <v>124000000</v>
      </c>
      <c r="O13" s="246">
        <v>144000000</v>
      </c>
      <c r="P13" s="246">
        <v>144000000</v>
      </c>
      <c r="Q13" s="246">
        <v>144000000</v>
      </c>
      <c r="R13" s="246">
        <v>184000000</v>
      </c>
      <c r="S13" s="840">
        <v>184000000</v>
      </c>
      <c r="T13" s="246">
        <f t="shared" si="0"/>
        <v>0</v>
      </c>
    </row>
    <row r="14" spans="1:20" ht="27.95" customHeight="1">
      <c r="A14" s="392">
        <v>22105</v>
      </c>
      <c r="B14" s="246" t="s">
        <v>135</v>
      </c>
      <c r="C14" s="246"/>
      <c r="D14" s="246"/>
      <c r="E14" s="246"/>
      <c r="F14" s="246"/>
      <c r="G14" s="246"/>
      <c r="H14" s="246"/>
      <c r="I14" s="246"/>
      <c r="J14" s="246"/>
      <c r="K14" s="246">
        <v>0</v>
      </c>
      <c r="L14" s="246">
        <v>145200000</v>
      </c>
      <c r="M14" s="246">
        <f>145200000*70%</f>
        <v>101640000</v>
      </c>
      <c r="N14" s="246">
        <f>145200000*70%</f>
        <v>101640000</v>
      </c>
      <c r="O14" s="246">
        <v>36000000</v>
      </c>
      <c r="P14" s="246">
        <v>36000000</v>
      </c>
      <c r="Q14" s="246">
        <v>36000000</v>
      </c>
      <c r="R14" s="246">
        <v>36000000</v>
      </c>
      <c r="S14" s="840">
        <v>36000000</v>
      </c>
      <c r="T14" s="246">
        <f t="shared" si="0"/>
        <v>0</v>
      </c>
    </row>
    <row r="15" spans="1:20" ht="27.95" customHeight="1">
      <c r="A15" s="392">
        <v>22106</v>
      </c>
      <c r="B15" s="246" t="s">
        <v>126</v>
      </c>
      <c r="C15" s="292"/>
      <c r="D15" s="246">
        <v>0</v>
      </c>
      <c r="E15" s="246">
        <v>0</v>
      </c>
      <c r="F15" s="246">
        <v>0</v>
      </c>
      <c r="G15" s="246">
        <v>0</v>
      </c>
      <c r="H15" s="246">
        <v>20000000</v>
      </c>
      <c r="I15" s="246">
        <v>0</v>
      </c>
      <c r="J15" s="246">
        <v>65000000</v>
      </c>
      <c r="K15" s="246">
        <v>148960000</v>
      </c>
      <c r="L15" s="246">
        <v>75000000</v>
      </c>
      <c r="M15" s="246">
        <f>75000000*70%</f>
        <v>52500000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840">
        <v>0</v>
      </c>
      <c r="T15" s="246">
        <f t="shared" si="0"/>
        <v>0</v>
      </c>
    </row>
    <row r="16" spans="1:20" ht="27.95" customHeight="1">
      <c r="A16" s="392">
        <v>22107</v>
      </c>
      <c r="B16" s="246" t="s">
        <v>48</v>
      </c>
      <c r="C16" s="292"/>
      <c r="D16" s="246"/>
      <c r="E16" s="246"/>
      <c r="F16" s="246"/>
      <c r="G16" s="246"/>
      <c r="H16" s="246"/>
      <c r="I16" s="246"/>
      <c r="J16" s="246"/>
      <c r="K16" s="246">
        <v>30000000</v>
      </c>
      <c r="L16" s="246">
        <v>64688000</v>
      </c>
      <c r="M16" s="246">
        <v>45281600</v>
      </c>
      <c r="N16" s="246">
        <f>M16*70%</f>
        <v>31697119.999999996</v>
      </c>
      <c r="O16" s="246">
        <f>N16</f>
        <v>31697119.999999996</v>
      </c>
      <c r="P16" s="246">
        <f>O16</f>
        <v>31697119.999999996</v>
      </c>
      <c r="Q16" s="246">
        <v>93697120</v>
      </c>
      <c r="R16" s="246">
        <v>93697120</v>
      </c>
      <c r="S16" s="840">
        <v>93697120</v>
      </c>
      <c r="T16" s="246">
        <f t="shared" si="0"/>
        <v>0</v>
      </c>
    </row>
    <row r="17" spans="1:20" ht="27.95" customHeight="1">
      <c r="A17" s="392">
        <v>22108</v>
      </c>
      <c r="B17" s="246" t="s">
        <v>885</v>
      </c>
      <c r="C17" s="292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>
        <v>0</v>
      </c>
      <c r="P17" s="246">
        <v>7200000</v>
      </c>
      <c r="Q17" s="246">
        <v>7200000</v>
      </c>
      <c r="R17" s="246">
        <v>7200000</v>
      </c>
      <c r="S17" s="840">
        <v>19200000</v>
      </c>
      <c r="T17" s="246">
        <f t="shared" si="0"/>
        <v>12000000</v>
      </c>
    </row>
    <row r="18" spans="1:20" ht="27.95" customHeight="1">
      <c r="A18" s="392">
        <v>22109</v>
      </c>
      <c r="B18" s="246" t="s">
        <v>136</v>
      </c>
      <c r="C18" s="292"/>
      <c r="D18" s="246"/>
      <c r="E18" s="246"/>
      <c r="F18" s="246"/>
      <c r="G18" s="246"/>
      <c r="H18" s="246">
        <v>0</v>
      </c>
      <c r="I18" s="246">
        <v>7448000</v>
      </c>
      <c r="J18" s="246">
        <v>12000000</v>
      </c>
      <c r="K18" s="280">
        <f>SUM(K8:K16)</f>
        <v>453551597</v>
      </c>
      <c r="L18" s="246">
        <v>15000000</v>
      </c>
      <c r="M18" s="246">
        <f t="shared" ref="M18:S18" si="3">15000000*70%</f>
        <v>10500000</v>
      </c>
      <c r="N18" s="246">
        <f t="shared" si="3"/>
        <v>10500000</v>
      </c>
      <c r="O18" s="246">
        <f t="shared" si="3"/>
        <v>10500000</v>
      </c>
      <c r="P18" s="246">
        <f t="shared" si="3"/>
        <v>10500000</v>
      </c>
      <c r="Q18" s="246">
        <f t="shared" si="3"/>
        <v>10500000</v>
      </c>
      <c r="R18" s="246">
        <f t="shared" si="3"/>
        <v>10500000</v>
      </c>
      <c r="S18" s="840">
        <f t="shared" si="3"/>
        <v>10500000</v>
      </c>
      <c r="T18" s="246">
        <f t="shared" si="0"/>
        <v>0</v>
      </c>
    </row>
    <row r="19" spans="1:20" ht="27.95" customHeight="1">
      <c r="A19" s="392">
        <v>22112</v>
      </c>
      <c r="B19" s="246" t="s">
        <v>35</v>
      </c>
      <c r="C19" s="292"/>
      <c r="D19" s="246">
        <v>0</v>
      </c>
      <c r="E19" s="246">
        <v>0</v>
      </c>
      <c r="F19" s="246">
        <v>0</v>
      </c>
      <c r="G19" s="246">
        <v>4000000</v>
      </c>
      <c r="H19" s="246">
        <v>15000000</v>
      </c>
      <c r="I19" s="246">
        <v>18620000</v>
      </c>
      <c r="J19" s="246">
        <v>40000000</v>
      </c>
      <c r="K19" s="246"/>
      <c r="L19" s="246">
        <v>70000000</v>
      </c>
      <c r="M19" s="246">
        <v>49000000</v>
      </c>
      <c r="N19" s="246">
        <v>89000000</v>
      </c>
      <c r="O19" s="246">
        <v>119000000</v>
      </c>
      <c r="P19" s="246">
        <v>139000000</v>
      </c>
      <c r="Q19" s="246">
        <v>139000000</v>
      </c>
      <c r="R19" s="246">
        <v>139000000</v>
      </c>
      <c r="S19" s="840">
        <v>190000000</v>
      </c>
      <c r="T19" s="246">
        <f t="shared" si="0"/>
        <v>51000000</v>
      </c>
    </row>
    <row r="20" spans="1:20" ht="27.95" customHeight="1">
      <c r="A20" s="392">
        <v>22122</v>
      </c>
      <c r="B20" s="246" t="s">
        <v>507</v>
      </c>
      <c r="C20" s="292"/>
      <c r="D20" s="246"/>
      <c r="E20" s="246"/>
      <c r="F20" s="246"/>
      <c r="G20" s="246"/>
      <c r="H20" s="246"/>
      <c r="I20" s="246"/>
      <c r="J20" s="246"/>
      <c r="K20" s="246"/>
      <c r="L20" s="246"/>
      <c r="M20" s="246">
        <v>0</v>
      </c>
      <c r="N20" s="246">
        <v>120000000</v>
      </c>
      <c r="O20" s="246">
        <v>140000000</v>
      </c>
      <c r="P20" s="246">
        <v>240000000</v>
      </c>
      <c r="Q20" s="246">
        <v>340000000</v>
      </c>
      <c r="R20" s="246">
        <v>540000000</v>
      </c>
      <c r="S20" s="840">
        <v>740000000</v>
      </c>
      <c r="T20" s="246">
        <f t="shared" si="0"/>
        <v>200000000</v>
      </c>
    </row>
    <row r="21" spans="1:20" ht="27.95" customHeight="1">
      <c r="A21" s="392">
        <v>22129</v>
      </c>
      <c r="B21" s="246" t="s">
        <v>288</v>
      </c>
      <c r="C21" s="292"/>
      <c r="D21" s="246"/>
      <c r="E21" s="246"/>
      <c r="F21" s="246"/>
      <c r="G21" s="246"/>
      <c r="H21" s="246"/>
      <c r="I21" s="246"/>
      <c r="J21" s="246"/>
      <c r="K21" s="246"/>
      <c r="L21" s="246">
        <v>25000000</v>
      </c>
      <c r="M21" s="246">
        <f>25000000*70%</f>
        <v>17500000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46">
        <f t="shared" si="0"/>
        <v>0</v>
      </c>
    </row>
    <row r="22" spans="1:20" ht="27.95" customHeight="1">
      <c r="A22" s="392">
        <v>22132</v>
      </c>
      <c r="B22" s="246" t="s">
        <v>1208</v>
      </c>
      <c r="C22" s="246"/>
      <c r="D22" s="246"/>
      <c r="E22" s="246"/>
      <c r="F22" s="246"/>
      <c r="G22" s="246"/>
      <c r="H22" s="246"/>
      <c r="I22" s="246"/>
      <c r="J22" s="246"/>
      <c r="K22" s="246">
        <v>111900000</v>
      </c>
      <c r="L22" s="246">
        <v>150000000</v>
      </c>
      <c r="M22" s="246">
        <f>150000000*70%</f>
        <v>105000000</v>
      </c>
      <c r="N22" s="246">
        <v>0</v>
      </c>
      <c r="O22" s="246">
        <v>0</v>
      </c>
      <c r="P22" s="246">
        <v>0</v>
      </c>
      <c r="Q22" s="246">
        <v>0</v>
      </c>
      <c r="R22" s="246">
        <v>200000000</v>
      </c>
      <c r="S22" s="840">
        <v>300000000</v>
      </c>
      <c r="T22" s="246">
        <f t="shared" si="0"/>
        <v>100000000</v>
      </c>
    </row>
    <row r="23" spans="1:20" ht="27.95" customHeight="1">
      <c r="A23" s="392">
        <v>22134</v>
      </c>
      <c r="B23" s="246" t="s">
        <v>1346</v>
      </c>
      <c r="C23" s="246">
        <v>3759996</v>
      </c>
      <c r="D23" s="246">
        <v>8044000</v>
      </c>
      <c r="E23" s="246">
        <v>8044000</v>
      </c>
      <c r="F23" s="246">
        <v>8044000</v>
      </c>
      <c r="G23" s="246">
        <v>12800000</v>
      </c>
      <c r="H23" s="246">
        <v>40000000</v>
      </c>
      <c r="I23" s="246">
        <v>44688000</v>
      </c>
      <c r="J23" s="246">
        <v>70000000</v>
      </c>
      <c r="K23" s="246">
        <v>26812800</v>
      </c>
      <c r="L23" s="246">
        <v>15000000</v>
      </c>
      <c r="M23" s="246">
        <f>15000000*70%</f>
        <v>10500000</v>
      </c>
      <c r="N23" s="246">
        <f>M23*70%</f>
        <v>7349999.9999999991</v>
      </c>
      <c r="O23" s="246">
        <f>N23</f>
        <v>7349999.9999999991</v>
      </c>
      <c r="P23" s="246">
        <f>O23</f>
        <v>7349999.9999999991</v>
      </c>
      <c r="Q23" s="246">
        <f>P23</f>
        <v>7349999.9999999991</v>
      </c>
      <c r="R23" s="246">
        <f>Q23</f>
        <v>7349999.9999999991</v>
      </c>
      <c r="S23" s="840">
        <v>300000000</v>
      </c>
      <c r="T23" s="246">
        <f t="shared" si="0"/>
        <v>292650000</v>
      </c>
    </row>
    <row r="24" spans="1:20" ht="27.95" customHeight="1">
      <c r="A24" s="392">
        <v>22137</v>
      </c>
      <c r="B24" s="246" t="s">
        <v>282</v>
      </c>
      <c r="C24" s="246"/>
      <c r="D24" s="246">
        <v>0</v>
      </c>
      <c r="E24" s="246">
        <v>0</v>
      </c>
      <c r="F24" s="246">
        <v>10000000</v>
      </c>
      <c r="G24" s="246">
        <v>0</v>
      </c>
      <c r="H24" s="246">
        <v>15000000</v>
      </c>
      <c r="I24" s="246">
        <v>18620000</v>
      </c>
      <c r="J24" s="246">
        <v>20000000</v>
      </c>
      <c r="K24" s="246">
        <v>59584000</v>
      </c>
      <c r="L24" s="246">
        <v>45000000</v>
      </c>
      <c r="M24" s="246">
        <f>45000000*70%</f>
        <v>31499999.999999996</v>
      </c>
      <c r="N24" s="246">
        <f>45000000*70%</f>
        <v>31499999.999999996</v>
      </c>
      <c r="O24" s="246">
        <f>45000000*70%</f>
        <v>31499999.999999996</v>
      </c>
      <c r="P24" s="246">
        <v>69294560</v>
      </c>
      <c r="Q24" s="246">
        <v>148294560</v>
      </c>
      <c r="R24" s="246">
        <v>348294560</v>
      </c>
      <c r="S24" s="840">
        <v>348294560</v>
      </c>
      <c r="T24" s="246">
        <f t="shared" si="0"/>
        <v>0</v>
      </c>
    </row>
    <row r="25" spans="1:20" s="492" customFormat="1" ht="27.95" customHeight="1">
      <c r="A25" s="476"/>
      <c r="B25" s="280" t="s">
        <v>92</v>
      </c>
      <c r="C25" s="280">
        <f>SUM(C23:C23)</f>
        <v>3759996</v>
      </c>
      <c r="D25" s="280">
        <f>SUM(D23:D23)</f>
        <v>8044000</v>
      </c>
      <c r="E25" s="280">
        <f t="shared" ref="E25:J25" si="4">SUM(E23:E24)</f>
        <v>8044000</v>
      </c>
      <c r="F25" s="280">
        <f t="shared" si="4"/>
        <v>18044000</v>
      </c>
      <c r="G25" s="280">
        <f t="shared" si="4"/>
        <v>12800000</v>
      </c>
      <c r="H25" s="280">
        <f t="shared" si="4"/>
        <v>55000000</v>
      </c>
      <c r="I25" s="280">
        <f t="shared" si="4"/>
        <v>63308000</v>
      </c>
      <c r="J25" s="280">
        <f t="shared" si="4"/>
        <v>90000000</v>
      </c>
      <c r="K25" s="280"/>
      <c r="L25" s="280">
        <f t="shared" ref="L25:Q25" si="5">SUM(L11:L24)</f>
        <v>773404000</v>
      </c>
      <c r="M25" s="280">
        <f t="shared" si="5"/>
        <v>541382800</v>
      </c>
      <c r="N25" s="280">
        <f t="shared" si="5"/>
        <v>549648320</v>
      </c>
      <c r="O25" s="280">
        <f t="shared" si="5"/>
        <v>554008320</v>
      </c>
      <c r="P25" s="280">
        <f t="shared" si="5"/>
        <v>719002880</v>
      </c>
      <c r="Q25" s="280">
        <f t="shared" si="5"/>
        <v>960002880</v>
      </c>
      <c r="R25" s="280">
        <f>SUM(R11:R24)</f>
        <v>1666041680</v>
      </c>
      <c r="S25" s="851">
        <f>SUM(S11:S24)</f>
        <v>2321691680</v>
      </c>
      <c r="T25" s="280">
        <f t="shared" si="0"/>
        <v>655650000</v>
      </c>
    </row>
    <row r="26" spans="1:20" ht="27.95" customHeight="1">
      <c r="A26" s="476">
        <v>2220</v>
      </c>
      <c r="B26" s="280" t="s">
        <v>240</v>
      </c>
      <c r="C26" s="246"/>
      <c r="D26" s="246"/>
      <c r="E26" s="246">
        <v>0</v>
      </c>
      <c r="F26" s="246">
        <v>0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840"/>
      <c r="T26" s="246">
        <f t="shared" si="0"/>
        <v>0</v>
      </c>
    </row>
    <row r="27" spans="1:20" ht="27.95" customHeight="1">
      <c r="A27" s="392">
        <v>22202</v>
      </c>
      <c r="B27" s="246" t="s">
        <v>133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348700000</v>
      </c>
      <c r="M27" s="246">
        <v>243670000</v>
      </c>
      <c r="N27" s="246">
        <f>M27*80%</f>
        <v>194936000</v>
      </c>
      <c r="O27" s="246">
        <v>200000000</v>
      </c>
      <c r="P27" s="246">
        <v>300000000</v>
      </c>
      <c r="Q27" s="246">
        <v>400000000</v>
      </c>
      <c r="R27" s="246">
        <v>450000000</v>
      </c>
      <c r="S27" s="840">
        <v>530000000</v>
      </c>
      <c r="T27" s="246">
        <f t="shared" si="0"/>
        <v>80000000</v>
      </c>
    </row>
    <row r="28" spans="1:20" ht="27.95" customHeight="1">
      <c r="A28" s="392">
        <v>22203</v>
      </c>
      <c r="B28" s="246" t="s">
        <v>127</v>
      </c>
      <c r="C28" s="246"/>
      <c r="D28" s="246">
        <v>0</v>
      </c>
      <c r="E28" s="246">
        <v>2800000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7448000</v>
      </c>
      <c r="L28" s="246">
        <v>40000000</v>
      </c>
      <c r="M28" s="246">
        <v>28000000</v>
      </c>
      <c r="N28" s="246">
        <v>28000000</v>
      </c>
      <c r="O28" s="246">
        <v>48000000</v>
      </c>
      <c r="P28" s="246">
        <v>48000000</v>
      </c>
      <c r="Q28" s="246">
        <v>92000000</v>
      </c>
      <c r="R28" s="246">
        <v>100000000</v>
      </c>
      <c r="S28" s="840">
        <v>100000000</v>
      </c>
      <c r="T28" s="246">
        <f t="shared" si="0"/>
        <v>0</v>
      </c>
    </row>
    <row r="29" spans="1:20" ht="27.95" customHeight="1">
      <c r="A29" s="392">
        <v>22204</v>
      </c>
      <c r="B29" s="246" t="s">
        <v>128</v>
      </c>
      <c r="C29" s="246">
        <v>11463969</v>
      </c>
      <c r="D29" s="246">
        <v>8800000</v>
      </c>
      <c r="E29" s="246">
        <v>8800000</v>
      </c>
      <c r="F29" s="246">
        <v>15576760</v>
      </c>
      <c r="G29" s="246">
        <v>19558400</v>
      </c>
      <c r="H29" s="246">
        <v>30000000</v>
      </c>
      <c r="I29" s="246">
        <v>42167597</v>
      </c>
      <c r="J29" s="246">
        <v>60000000</v>
      </c>
      <c r="K29" s="246">
        <v>18620000</v>
      </c>
      <c r="L29" s="246">
        <v>59584000</v>
      </c>
      <c r="M29" s="246">
        <f t="shared" ref="M29:S29" si="6">59584000*70%</f>
        <v>41708800</v>
      </c>
      <c r="N29" s="246">
        <f t="shared" si="6"/>
        <v>41708800</v>
      </c>
      <c r="O29" s="246">
        <f t="shared" si="6"/>
        <v>41708800</v>
      </c>
      <c r="P29" s="246">
        <f t="shared" si="6"/>
        <v>41708800</v>
      </c>
      <c r="Q29" s="246">
        <f t="shared" si="6"/>
        <v>41708800</v>
      </c>
      <c r="R29" s="246">
        <f t="shared" si="6"/>
        <v>41708800</v>
      </c>
      <c r="S29" s="840">
        <f t="shared" si="6"/>
        <v>41708800</v>
      </c>
      <c r="T29" s="246">
        <f t="shared" si="0"/>
        <v>0</v>
      </c>
    </row>
    <row r="30" spans="1:20" ht="27.95" customHeight="1">
      <c r="A30" s="392"/>
      <c r="B30" s="280" t="s">
        <v>92</v>
      </c>
      <c r="C30" s="246">
        <v>1074000</v>
      </c>
      <c r="D30" s="246">
        <v>4220000</v>
      </c>
      <c r="E30" s="246">
        <v>4220000</v>
      </c>
      <c r="F30" s="246">
        <v>4220000</v>
      </c>
      <c r="G30" s="246">
        <v>6400000</v>
      </c>
      <c r="H30" s="246">
        <v>18000000</v>
      </c>
      <c r="I30" s="246">
        <v>44688000</v>
      </c>
      <c r="J30" s="246">
        <v>78000000</v>
      </c>
      <c r="K30" s="246">
        <v>0</v>
      </c>
      <c r="L30" s="280">
        <f t="shared" ref="L30:Q30" si="7">SUM(L27:L29)</f>
        <v>448284000</v>
      </c>
      <c r="M30" s="280">
        <f t="shared" si="7"/>
        <v>313378800</v>
      </c>
      <c r="N30" s="280">
        <f t="shared" si="7"/>
        <v>264644800</v>
      </c>
      <c r="O30" s="280">
        <f t="shared" si="7"/>
        <v>289708800</v>
      </c>
      <c r="P30" s="280">
        <f t="shared" si="7"/>
        <v>389708800</v>
      </c>
      <c r="Q30" s="280">
        <f t="shared" si="7"/>
        <v>533708800</v>
      </c>
      <c r="R30" s="280">
        <f>SUM(R27:R29)</f>
        <v>591708800</v>
      </c>
      <c r="S30" s="851">
        <f>SUM(S27:S29)</f>
        <v>671708800</v>
      </c>
      <c r="T30" s="280">
        <f t="shared" si="0"/>
        <v>80000000</v>
      </c>
    </row>
    <row r="31" spans="1:20" ht="27.95" customHeight="1">
      <c r="A31" s="476">
        <v>2230</v>
      </c>
      <c r="B31" s="280" t="s">
        <v>130</v>
      </c>
      <c r="C31" s="246"/>
      <c r="D31" s="246">
        <v>0</v>
      </c>
      <c r="E31" s="246">
        <v>5000000</v>
      </c>
      <c r="F31" s="246">
        <v>5000000</v>
      </c>
      <c r="G31" s="246">
        <v>8000000</v>
      </c>
      <c r="H31" s="246">
        <v>10000000</v>
      </c>
      <c r="I31" s="246">
        <v>7448000</v>
      </c>
      <c r="J31" s="246">
        <v>15000000</v>
      </c>
      <c r="K31" s="246">
        <v>0</v>
      </c>
      <c r="L31" s="246"/>
      <c r="M31" s="246"/>
      <c r="N31" s="246"/>
      <c r="O31" s="246"/>
      <c r="P31" s="246"/>
      <c r="Q31" s="246"/>
      <c r="R31" s="246"/>
      <c r="S31" s="840"/>
      <c r="T31" s="246">
        <f t="shared" si="0"/>
        <v>0</v>
      </c>
    </row>
    <row r="32" spans="1:20" s="492" customFormat="1" ht="27.95" customHeight="1">
      <c r="A32" s="392">
        <v>22301</v>
      </c>
      <c r="B32" s="246" t="s">
        <v>49</v>
      </c>
      <c r="C32" s="280">
        <f>SUM(C27:C31)</f>
        <v>12537969</v>
      </c>
      <c r="D32" s="280">
        <f>SUM(D27:D31)</f>
        <v>13020000</v>
      </c>
      <c r="E32" s="280">
        <f>SUM(E26:E31)</f>
        <v>20820000</v>
      </c>
      <c r="F32" s="280">
        <f>SUM(F26:F31)</f>
        <v>24796760</v>
      </c>
      <c r="G32" s="280">
        <f>SUM(G27:G31)</f>
        <v>33958400</v>
      </c>
      <c r="H32" s="280">
        <f>SUM(H27:H31)</f>
        <v>58000000</v>
      </c>
      <c r="I32" s="280">
        <f>SUM(I27:I31)</f>
        <v>94303597</v>
      </c>
      <c r="J32" s="280">
        <f>SUM(J27:J31)</f>
        <v>153000000</v>
      </c>
      <c r="K32" s="280">
        <f>SUM(K30:K31)</f>
        <v>0</v>
      </c>
      <c r="L32" s="246">
        <v>55000000</v>
      </c>
      <c r="M32" s="246">
        <v>38500000</v>
      </c>
      <c r="N32" s="246">
        <v>38500000</v>
      </c>
      <c r="O32" s="246">
        <v>38500000</v>
      </c>
      <c r="P32" s="246">
        <v>38500000</v>
      </c>
      <c r="Q32" s="246">
        <v>38500000</v>
      </c>
      <c r="R32" s="246">
        <v>138500000</v>
      </c>
      <c r="S32" s="840">
        <v>200000000</v>
      </c>
      <c r="T32" s="246">
        <f t="shared" si="0"/>
        <v>61500000</v>
      </c>
    </row>
    <row r="33" spans="1:20" s="492" customFormat="1" ht="27.95" customHeight="1">
      <c r="A33" s="392">
        <v>22302</v>
      </c>
      <c r="B33" s="246" t="s">
        <v>249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100000000</v>
      </c>
      <c r="S33" s="840">
        <v>100000000</v>
      </c>
      <c r="T33" s="246">
        <f t="shared" si="0"/>
        <v>0</v>
      </c>
    </row>
    <row r="34" spans="1:20" s="492" customFormat="1" ht="27.95" customHeight="1">
      <c r="A34" s="392">
        <v>22313</v>
      </c>
      <c r="B34" s="246" t="s">
        <v>420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0">
        <v>0</v>
      </c>
      <c r="M34" s="290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  <c r="S34" s="840">
        <v>0</v>
      </c>
      <c r="T34" s="246">
        <f t="shared" si="0"/>
        <v>0</v>
      </c>
    </row>
    <row r="35" spans="1:20" ht="27.95" customHeight="1">
      <c r="A35" s="392"/>
      <c r="B35" s="280" t="s">
        <v>92</v>
      </c>
      <c r="C35" s="292"/>
      <c r="D35" s="292"/>
      <c r="E35" s="292"/>
      <c r="F35" s="292">
        <v>378957227</v>
      </c>
      <c r="G35" s="292"/>
      <c r="H35" s="292"/>
      <c r="I35" s="292"/>
      <c r="J35" s="292"/>
      <c r="K35" s="292"/>
      <c r="L35" s="279">
        <f t="shared" ref="L35:P35" si="8">SUM(L32:L34)</f>
        <v>55000000</v>
      </c>
      <c r="M35" s="279">
        <f t="shared" si="8"/>
        <v>38500000</v>
      </c>
      <c r="N35" s="280">
        <f t="shared" si="8"/>
        <v>38500000</v>
      </c>
      <c r="O35" s="280">
        <f t="shared" si="8"/>
        <v>38500000</v>
      </c>
      <c r="P35" s="280">
        <f t="shared" si="8"/>
        <v>38500000</v>
      </c>
      <c r="Q35" s="280">
        <f>SUM(Q32:Q34)</f>
        <v>38500000</v>
      </c>
      <c r="R35" s="280">
        <f>SUM(R32:R34)</f>
        <v>238500000</v>
      </c>
      <c r="S35" s="851">
        <f>SUM(S32:S34)</f>
        <v>300000000</v>
      </c>
      <c r="T35" s="280">
        <f t="shared" si="0"/>
        <v>61500000</v>
      </c>
    </row>
    <row r="36" spans="1:20" ht="27.95" customHeight="1">
      <c r="A36" s="476">
        <v>270</v>
      </c>
      <c r="B36" s="280" t="s">
        <v>253</v>
      </c>
      <c r="C36" s="292"/>
      <c r="D36" s="292"/>
      <c r="E36" s="292"/>
      <c r="F36" s="274" t="e">
        <f>F35+#REF!</f>
        <v>#REF!</v>
      </c>
      <c r="G36" s="274"/>
      <c r="H36" s="274"/>
      <c r="I36" s="274"/>
      <c r="J36" s="274"/>
      <c r="K36" s="274"/>
      <c r="L36" s="305"/>
      <c r="M36" s="305"/>
      <c r="N36" s="246"/>
      <c r="O36" s="246"/>
      <c r="P36" s="246"/>
      <c r="Q36" s="246"/>
      <c r="R36" s="246"/>
      <c r="S36" s="840"/>
      <c r="T36" s="246">
        <f t="shared" si="0"/>
        <v>0</v>
      </c>
    </row>
    <row r="37" spans="1:20" ht="27.95" customHeight="1">
      <c r="A37" s="476">
        <v>2710</v>
      </c>
      <c r="B37" s="280" t="s">
        <v>252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0"/>
      <c r="M37" s="290"/>
      <c r="N37" s="246"/>
      <c r="O37" s="246"/>
      <c r="P37" s="246"/>
      <c r="Q37" s="246"/>
      <c r="R37" s="246"/>
      <c r="S37" s="840"/>
      <c r="T37" s="246">
        <f t="shared" si="0"/>
        <v>0</v>
      </c>
    </row>
    <row r="38" spans="1:20" ht="27.95" customHeight="1">
      <c r="A38" s="392">
        <v>27601</v>
      </c>
      <c r="B38" s="246" t="s">
        <v>286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0">
        <v>15000000</v>
      </c>
      <c r="M38" s="290">
        <f>15000000*70%</f>
        <v>10500000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840">
        <v>0</v>
      </c>
      <c r="T38" s="246">
        <f t="shared" si="0"/>
        <v>0</v>
      </c>
    </row>
    <row r="39" spans="1:20" ht="27.95" customHeight="1">
      <c r="A39" s="392">
        <v>27402</v>
      </c>
      <c r="B39" s="246" t="s">
        <v>287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0">
        <v>0</v>
      </c>
      <c r="M39" s="290">
        <v>0</v>
      </c>
      <c r="N39" s="246">
        <v>0</v>
      </c>
      <c r="O39" s="246">
        <v>84000000</v>
      </c>
      <c r="P39" s="246">
        <v>0</v>
      </c>
      <c r="Q39" s="246">
        <v>0</v>
      </c>
      <c r="R39" s="246">
        <v>260000000</v>
      </c>
      <c r="S39" s="840">
        <v>0</v>
      </c>
      <c r="T39" s="246">
        <f t="shared" si="0"/>
        <v>-260000000</v>
      </c>
    </row>
    <row r="40" spans="1:20" ht="27.95" customHeight="1">
      <c r="A40" s="392">
        <v>27502</v>
      </c>
      <c r="B40" s="246" t="s">
        <v>148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0">
        <v>24000000</v>
      </c>
      <c r="M40" s="290">
        <v>8000000</v>
      </c>
      <c r="N40" s="246">
        <v>0</v>
      </c>
      <c r="O40" s="246">
        <v>0</v>
      </c>
      <c r="P40" s="246">
        <v>0</v>
      </c>
      <c r="Q40" s="246">
        <v>0</v>
      </c>
      <c r="R40" s="246">
        <v>0</v>
      </c>
      <c r="S40" s="840">
        <v>0</v>
      </c>
      <c r="T40" s="246">
        <f t="shared" si="0"/>
        <v>0</v>
      </c>
    </row>
    <row r="41" spans="1:20" ht="27.95" customHeight="1">
      <c r="A41" s="392">
        <v>27604</v>
      </c>
      <c r="B41" s="246" t="s">
        <v>149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0">
        <v>6380000</v>
      </c>
      <c r="M41" s="290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840">
        <v>0</v>
      </c>
      <c r="T41" s="246">
        <f t="shared" si="0"/>
        <v>0</v>
      </c>
    </row>
    <row r="42" spans="1:20" ht="27.95" customHeight="1">
      <c r="A42" s="392"/>
      <c r="B42" s="280" t="s">
        <v>92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1">
        <f t="shared" ref="L42:P42" si="9">SUM(L38:L41)</f>
        <v>45380000</v>
      </c>
      <c r="M42" s="291">
        <f t="shared" si="9"/>
        <v>18500000</v>
      </c>
      <c r="N42" s="280">
        <f t="shared" si="9"/>
        <v>0</v>
      </c>
      <c r="O42" s="280">
        <f t="shared" si="9"/>
        <v>84000000</v>
      </c>
      <c r="P42" s="280">
        <f t="shared" si="9"/>
        <v>0</v>
      </c>
      <c r="Q42" s="280">
        <f>SUM(Q38:Q41)</f>
        <v>0</v>
      </c>
      <c r="R42" s="280">
        <f t="shared" ref="R42:S42" si="10">SUM(R38:R41)</f>
        <v>260000000</v>
      </c>
      <c r="S42" s="851">
        <f t="shared" si="10"/>
        <v>0</v>
      </c>
      <c r="T42" s="280">
        <f t="shared" si="0"/>
        <v>-260000000</v>
      </c>
    </row>
    <row r="43" spans="1:20" ht="27.95" customHeight="1">
      <c r="A43" s="392">
        <v>29320</v>
      </c>
      <c r="B43" s="280" t="s">
        <v>1490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1"/>
      <c r="M43" s="291"/>
      <c r="N43" s="280"/>
      <c r="O43" s="280"/>
      <c r="P43" s="280"/>
      <c r="Q43" s="280"/>
      <c r="R43" s="280"/>
      <c r="S43" s="851"/>
      <c r="T43" s="280">
        <f t="shared" si="0"/>
        <v>0</v>
      </c>
    </row>
    <row r="44" spans="1:20" ht="27.95" customHeight="1">
      <c r="A44" s="392">
        <v>29322</v>
      </c>
      <c r="B44" s="246" t="s">
        <v>1491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1"/>
      <c r="M44" s="291"/>
      <c r="N44" s="280"/>
      <c r="O44" s="280"/>
      <c r="P44" s="280"/>
      <c r="Q44" s="280"/>
      <c r="R44" s="280">
        <v>0</v>
      </c>
      <c r="S44" s="840">
        <v>8106480000</v>
      </c>
      <c r="T44" s="280">
        <f t="shared" si="0"/>
        <v>8106480000</v>
      </c>
    </row>
    <row r="45" spans="1:20" ht="27.95" customHeight="1">
      <c r="A45" s="392"/>
      <c r="B45" s="280" t="s">
        <v>92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1"/>
      <c r="M45" s="291"/>
      <c r="N45" s="280"/>
      <c r="O45" s="280"/>
      <c r="P45" s="280"/>
      <c r="Q45" s="280"/>
      <c r="R45" s="280"/>
      <c r="S45" s="851">
        <f>SUM(S44)</f>
        <v>8106480000</v>
      </c>
      <c r="T45" s="280">
        <f t="shared" si="0"/>
        <v>8106480000</v>
      </c>
    </row>
    <row r="46" spans="1:20" ht="27.95" customHeight="1">
      <c r="A46" s="392"/>
      <c r="B46" s="280" t="s">
        <v>37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1">
        <f t="shared" ref="L46:Q46" si="11">L42+L35+L30+L25+L8</f>
        <v>1730580400</v>
      </c>
      <c r="M46" s="291">
        <f t="shared" si="11"/>
        <v>1674966400</v>
      </c>
      <c r="N46" s="280">
        <f t="shared" si="11"/>
        <v>1694840320</v>
      </c>
      <c r="O46" s="280">
        <f t="shared" si="11"/>
        <v>2253987520</v>
      </c>
      <c r="P46" s="280">
        <f t="shared" si="11"/>
        <v>2942374240</v>
      </c>
      <c r="Q46" s="280">
        <f t="shared" si="11"/>
        <v>3485444000</v>
      </c>
      <c r="R46" s="280">
        <f>R42+R35+R30+R25+R8</f>
        <v>4800447760</v>
      </c>
      <c r="S46" s="851">
        <f>S42+S35+S30+S25+S8+S45</f>
        <v>15159355200</v>
      </c>
      <c r="T46" s="280">
        <f t="shared" si="0"/>
        <v>10358907440</v>
      </c>
    </row>
    <row r="47" spans="1:20" ht="27.95" customHeight="1">
      <c r="L47" s="569"/>
    </row>
    <row r="48" spans="1:20" ht="27.95" customHeight="1">
      <c r="L48" s="570"/>
    </row>
  </sheetData>
  <phoneticPr fontId="0" type="noConversion"/>
  <printOptions gridLines="1"/>
  <pageMargins left="0.64" right="0.25" top="0.53" bottom="0.57999999999999996" header="0.17" footer="0.27"/>
  <pageSetup scale="55" orientation="portrait" r:id="rId1"/>
  <headerFooter alignWithMargins="0">
    <oddHeader xml:space="preserve">&amp;C&amp;"Algerian,Bold"&amp;36WASAARAdDA QORSHAYNTA QARANKA </oddHeader>
    <oddFooter>&amp;R&amp;"Times New Roman,Bold"&amp;14 30</oddFooter>
  </headerFooter>
  <ignoredErrors>
    <ignoredError sqref="J13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topLeftCell="A55" zoomScale="60" workbookViewId="0">
      <selection activeCell="B71" sqref="B71"/>
    </sheetView>
  </sheetViews>
  <sheetFormatPr defaultRowHeight="19.5" customHeight="1"/>
  <cols>
    <col min="1" max="1" width="17.5" style="578" bestFit="1" customWidth="1"/>
    <col min="2" max="2" width="93.33203125" style="579" customWidth="1"/>
    <col min="3" max="3" width="0.1640625" style="579" hidden="1" customWidth="1"/>
    <col min="4" max="10" width="9.33203125" style="579" hidden="1" customWidth="1"/>
    <col min="11" max="11" width="1.1640625" style="579" hidden="1" customWidth="1"/>
    <col min="12" max="15" width="28.5" style="579" hidden="1" customWidth="1"/>
    <col min="16" max="17" width="31" style="579" hidden="1" customWidth="1"/>
    <col min="18" max="20" width="31" style="579" customWidth="1"/>
    <col min="21" max="16384" width="9.33203125" style="579"/>
  </cols>
  <sheetData>
    <row r="1" spans="1:20" s="572" customFormat="1" ht="19.5" customHeight="1">
      <c r="A1" s="571" t="s">
        <v>40</v>
      </c>
      <c r="B1" s="380" t="s">
        <v>1004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</row>
    <row r="2" spans="1:20" s="572" customFormat="1" ht="19.5" customHeight="1">
      <c r="A2" s="571" t="s">
        <v>25</v>
      </c>
      <c r="B2" s="381" t="s">
        <v>26</v>
      </c>
      <c r="C2" s="381" t="s">
        <v>38</v>
      </c>
      <c r="D2" s="548" t="s">
        <v>2</v>
      </c>
      <c r="E2" s="548" t="s">
        <v>43</v>
      </c>
      <c r="F2" s="548" t="s">
        <v>46</v>
      </c>
      <c r="G2" s="548" t="s">
        <v>55</v>
      </c>
      <c r="H2" s="548" t="s">
        <v>62</v>
      </c>
      <c r="I2" s="548" t="s">
        <v>103</v>
      </c>
      <c r="J2" s="548" t="s">
        <v>107</v>
      </c>
      <c r="K2" s="548" t="s">
        <v>115</v>
      </c>
      <c r="L2" s="548" t="s">
        <v>138</v>
      </c>
      <c r="M2" s="548" t="s">
        <v>257</v>
      </c>
      <c r="N2" s="548" t="s">
        <v>440</v>
      </c>
      <c r="O2" s="548" t="s">
        <v>814</v>
      </c>
      <c r="P2" s="548" t="s">
        <v>874</v>
      </c>
      <c r="Q2" s="548" t="s">
        <v>973</v>
      </c>
      <c r="R2" s="548" t="s">
        <v>1160</v>
      </c>
      <c r="S2" s="548" t="s">
        <v>1320</v>
      </c>
      <c r="T2" s="548" t="s">
        <v>56</v>
      </c>
    </row>
    <row r="3" spans="1:20" s="572" customFormat="1" ht="19.5" customHeight="1">
      <c r="A3" s="573">
        <v>210</v>
      </c>
      <c r="B3" s="298" t="s">
        <v>137</v>
      </c>
      <c r="C3" s="381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</row>
    <row r="4" spans="1:20" s="572" customFormat="1" ht="19.5" customHeight="1">
      <c r="A4" s="573">
        <v>2110</v>
      </c>
      <c r="B4" s="298" t="s">
        <v>213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</row>
    <row r="5" spans="1:20" s="572" customFormat="1" ht="19.5" customHeight="1">
      <c r="A5" s="574">
        <v>21101</v>
      </c>
      <c r="B5" s="273" t="s">
        <v>28</v>
      </c>
      <c r="C5" s="273">
        <v>854415660</v>
      </c>
      <c r="D5" s="273">
        <v>1013164000</v>
      </c>
      <c r="E5" s="273">
        <v>1124508000</v>
      </c>
      <c r="F5" s="273">
        <v>1127304000</v>
      </c>
      <c r="G5" s="273">
        <f>1115808000+3912000</f>
        <v>1119720000</v>
      </c>
      <c r="H5" s="273">
        <f>1119720000+25536000</f>
        <v>1145256000</v>
      </c>
      <c r="I5" s="273">
        <f>1488832800+60839200</f>
        <v>1549672000</v>
      </c>
      <c r="J5" s="273">
        <v>1844010400</v>
      </c>
      <c r="K5" s="273">
        <f>1856281200+112600800-3198000</f>
        <v>1965684000</v>
      </c>
      <c r="L5" s="273">
        <f>2194309800+50000000</f>
        <v>2244309800</v>
      </c>
      <c r="M5" s="273">
        <f>'[2]shaq,3'!H29+72000000+279881720</f>
        <v>3676460120</v>
      </c>
      <c r="N5" s="273">
        <v>4240454400</v>
      </c>
      <c r="O5" s="273">
        <v>6327110400</v>
      </c>
      <c r="P5" s="273">
        <v>9712609920</v>
      </c>
      <c r="Q5" s="273">
        <v>10788117120</v>
      </c>
      <c r="R5" s="273">
        <v>14130717120</v>
      </c>
      <c r="S5" s="247">
        <v>16541952640</v>
      </c>
      <c r="T5" s="273">
        <f>S5-R5</f>
        <v>2411235520</v>
      </c>
    </row>
    <row r="6" spans="1:20" s="572" customFormat="1" ht="19.5" customHeight="1">
      <c r="A6" s="574">
        <v>21102</v>
      </c>
      <c r="B6" s="273" t="s">
        <v>608</v>
      </c>
      <c r="C6" s="273">
        <v>19094340</v>
      </c>
      <c r="D6" s="273">
        <v>13000000</v>
      </c>
      <c r="E6" s="273">
        <v>21600000</v>
      </c>
      <c r="F6" s="273">
        <v>45756000</v>
      </c>
      <c r="G6" s="273">
        <f>45756000+15000000+16800000</f>
        <v>77556000</v>
      </c>
      <c r="H6" s="273">
        <f>45756000+15000000+16800000</f>
        <v>77556000</v>
      </c>
      <c r="I6" s="273">
        <v>77556000</v>
      </c>
      <c r="J6" s="273">
        <v>77556000</v>
      </c>
      <c r="K6" s="273">
        <v>77556000</v>
      </c>
      <c r="L6" s="273">
        <f>127556000-50000000</f>
        <v>77556000</v>
      </c>
      <c r="M6" s="273">
        <f>L6+21*423800*12+74*345800*12+2*266500+10*156000*12</f>
        <v>510677000</v>
      </c>
      <c r="N6" s="273">
        <v>1898400000</v>
      </c>
      <c r="O6" s="273">
        <v>629400000</v>
      </c>
      <c r="P6" s="273">
        <v>629400000</v>
      </c>
      <c r="Q6" s="273">
        <v>629400000</v>
      </c>
      <c r="R6" s="273">
        <v>291600000</v>
      </c>
      <c r="S6" s="247">
        <v>291600000</v>
      </c>
      <c r="T6" s="273">
        <f t="shared" ref="T6:T66" si="0">S6-R6</f>
        <v>0</v>
      </c>
    </row>
    <row r="7" spans="1:20" s="572" customFormat="1" ht="19.5" customHeight="1">
      <c r="A7" s="574">
        <v>21103</v>
      </c>
      <c r="B7" s="273" t="s">
        <v>30</v>
      </c>
      <c r="C7" s="273">
        <v>18000000</v>
      </c>
      <c r="D7" s="273">
        <v>36576000</v>
      </c>
      <c r="E7" s="273">
        <v>36576000</v>
      </c>
      <c r="F7" s="273">
        <v>36576000</v>
      </c>
      <c r="G7" s="273">
        <v>64176000</v>
      </c>
      <c r="H7" s="273">
        <v>64176000</v>
      </c>
      <c r="I7" s="273">
        <v>64176000</v>
      </c>
      <c r="J7" s="273">
        <f>64176000+32400000+1440000</f>
        <v>98016000</v>
      </c>
      <c r="K7" s="273">
        <f>98016000+1440000+7920000+30000000</f>
        <v>137376000</v>
      </c>
      <c r="L7" s="273">
        <f>137376000+6000000</f>
        <v>143376000</v>
      </c>
      <c r="M7" s="273">
        <f>137376000+6000000</f>
        <v>143376000</v>
      </c>
      <c r="N7" s="273">
        <v>142800000</v>
      </c>
      <c r="O7" s="273">
        <v>291600000</v>
      </c>
      <c r="P7" s="273">
        <v>1214000000</v>
      </c>
      <c r="Q7" s="273">
        <v>1935000000</v>
      </c>
      <c r="R7" s="273">
        <v>2807160000</v>
      </c>
      <c r="S7" s="247">
        <v>2807160000</v>
      </c>
      <c r="T7" s="273">
        <f t="shared" si="0"/>
        <v>0</v>
      </c>
    </row>
    <row r="8" spans="1:20" s="572" customFormat="1" ht="19.5" customHeight="1">
      <c r="A8" s="574">
        <v>21105</v>
      </c>
      <c r="B8" s="273" t="s">
        <v>457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575">
        <f>2473400000+132000000</f>
        <v>2605400000</v>
      </c>
      <c r="L8" s="273">
        <v>2871200000</v>
      </c>
      <c r="M8" s="273">
        <f>4500000000+200000000</f>
        <v>4700000000</v>
      </c>
      <c r="N8" s="273">
        <v>10119600000</v>
      </c>
      <c r="O8" s="273">
        <v>15180000000</v>
      </c>
      <c r="P8" s="273">
        <v>19290400000</v>
      </c>
      <c r="Q8" s="273">
        <v>21426400000</v>
      </c>
      <c r="R8" s="273">
        <v>28748604000</v>
      </c>
      <c r="S8" s="247">
        <v>31514204000</v>
      </c>
      <c r="T8" s="273">
        <f t="shared" si="0"/>
        <v>2765600000</v>
      </c>
    </row>
    <row r="9" spans="1:20" s="765" customFormat="1" ht="19.5" customHeight="1">
      <c r="A9" s="573"/>
      <c r="B9" s="298" t="s">
        <v>92</v>
      </c>
      <c r="C9" s="298"/>
      <c r="D9" s="298"/>
      <c r="E9" s="298"/>
      <c r="F9" s="298"/>
      <c r="G9" s="298"/>
      <c r="H9" s="298"/>
      <c r="I9" s="298"/>
      <c r="J9" s="298"/>
      <c r="K9" s="576"/>
      <c r="L9" s="298"/>
      <c r="M9" s="298"/>
      <c r="N9" s="298"/>
      <c r="O9" s="298"/>
      <c r="P9" s="298"/>
      <c r="Q9" s="298">
        <f>SUM(Q5:Q8)</f>
        <v>34778917120</v>
      </c>
      <c r="R9" s="298">
        <f>SUM(R5:R8)</f>
        <v>45978081120</v>
      </c>
      <c r="S9" s="256">
        <f>SUM(S5:S8)</f>
        <v>51154916640</v>
      </c>
      <c r="T9" s="298">
        <f t="shared" si="0"/>
        <v>5176835520</v>
      </c>
    </row>
    <row r="10" spans="1:20" s="572" customFormat="1" ht="19.5" customHeight="1">
      <c r="A10" s="573">
        <v>2120</v>
      </c>
      <c r="B10" s="298" t="s">
        <v>218</v>
      </c>
      <c r="C10" s="273">
        <v>148900000</v>
      </c>
      <c r="D10" s="273">
        <v>2000000</v>
      </c>
      <c r="E10" s="273">
        <v>0</v>
      </c>
      <c r="F10" s="273">
        <v>0</v>
      </c>
      <c r="G10" s="273">
        <v>2870000</v>
      </c>
      <c r="H10" s="273">
        <v>0</v>
      </c>
      <c r="I10" s="273">
        <v>0</v>
      </c>
      <c r="J10" s="273">
        <v>56990000</v>
      </c>
      <c r="K10" s="273">
        <v>0</v>
      </c>
      <c r="L10" s="273">
        <v>0</v>
      </c>
      <c r="M10" s="273">
        <v>0</v>
      </c>
      <c r="N10" s="273"/>
      <c r="O10" s="273"/>
      <c r="P10" s="273"/>
      <c r="Q10" s="273"/>
      <c r="R10" s="273"/>
      <c r="S10" s="247"/>
      <c r="T10" s="273">
        <f t="shared" si="0"/>
        <v>0</v>
      </c>
    </row>
    <row r="11" spans="1:20" s="572" customFormat="1" ht="19.5" customHeight="1">
      <c r="A11" s="574">
        <v>21202</v>
      </c>
      <c r="B11" s="273" t="s">
        <v>205</v>
      </c>
      <c r="C11" s="273">
        <v>42000000</v>
      </c>
      <c r="D11" s="273">
        <v>19000000</v>
      </c>
      <c r="E11" s="273">
        <v>21000000</v>
      </c>
      <c r="F11" s="273">
        <v>30000000</v>
      </c>
      <c r="G11" s="273">
        <v>50000000</v>
      </c>
      <c r="H11" s="273">
        <v>50000000</v>
      </c>
      <c r="I11" s="273">
        <v>50000000</v>
      </c>
      <c r="J11" s="273">
        <v>37500000</v>
      </c>
      <c r="K11" s="298">
        <f>SUM(K4:K10)</f>
        <v>4786016000</v>
      </c>
      <c r="L11" s="273">
        <v>94490000</v>
      </c>
      <c r="M11" s="273">
        <v>94490000</v>
      </c>
      <c r="N11" s="273"/>
      <c r="O11" s="273"/>
      <c r="P11" s="273">
        <v>300000000</v>
      </c>
      <c r="Q11" s="273">
        <v>0</v>
      </c>
      <c r="R11" s="273">
        <v>0</v>
      </c>
      <c r="S11" s="247">
        <v>0</v>
      </c>
      <c r="T11" s="273">
        <f t="shared" si="0"/>
        <v>0</v>
      </c>
    </row>
    <row r="12" spans="1:20" s="572" customFormat="1" ht="19.5" customHeight="1">
      <c r="A12" s="574">
        <v>21204</v>
      </c>
      <c r="B12" s="273" t="s">
        <v>477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>
        <v>60000000</v>
      </c>
      <c r="M12" s="273">
        <f>160000000+100000000</f>
        <v>260000000</v>
      </c>
      <c r="N12" s="273">
        <v>1940199628</v>
      </c>
      <c r="O12" s="273">
        <v>1000000000</v>
      </c>
      <c r="P12" s="273">
        <v>500000000</v>
      </c>
      <c r="Q12" s="273">
        <v>500000000</v>
      </c>
      <c r="R12" s="273">
        <v>500000000</v>
      </c>
      <c r="S12" s="247">
        <v>650000000</v>
      </c>
      <c r="T12" s="273">
        <f t="shared" si="0"/>
        <v>150000000</v>
      </c>
    </row>
    <row r="13" spans="1:20" s="572" customFormat="1" ht="19.5" customHeight="1">
      <c r="A13" s="574"/>
      <c r="B13" s="298" t="s">
        <v>92</v>
      </c>
      <c r="C13" s="273"/>
      <c r="D13" s="273"/>
      <c r="E13" s="273" t="s">
        <v>4</v>
      </c>
      <c r="F13" s="273" t="s">
        <v>4</v>
      </c>
      <c r="G13" s="273" t="s">
        <v>4</v>
      </c>
      <c r="H13" s="273" t="s">
        <v>4</v>
      </c>
      <c r="I13" s="273" t="s">
        <v>4</v>
      </c>
      <c r="J13" s="273"/>
      <c r="K13" s="273">
        <v>75075840</v>
      </c>
      <c r="L13" s="298">
        <f t="shared" ref="L13:P13" si="1">SUM(L5:L11)</f>
        <v>5430931800</v>
      </c>
      <c r="M13" s="298">
        <f t="shared" si="1"/>
        <v>9125003120</v>
      </c>
      <c r="N13" s="298">
        <f t="shared" si="1"/>
        <v>16401254400</v>
      </c>
      <c r="O13" s="298">
        <f t="shared" si="1"/>
        <v>22428110400</v>
      </c>
      <c r="P13" s="298">
        <f t="shared" si="1"/>
        <v>31146409920</v>
      </c>
      <c r="Q13" s="298">
        <f>SUM(Q11:Q12)</f>
        <v>500000000</v>
      </c>
      <c r="R13" s="298">
        <f>SUM(R11:R12)</f>
        <v>500000000</v>
      </c>
      <c r="S13" s="256">
        <f>SUM(S11:S12)</f>
        <v>650000000</v>
      </c>
      <c r="T13" s="298">
        <f t="shared" si="0"/>
        <v>150000000</v>
      </c>
    </row>
    <row r="14" spans="1:20" s="572" customFormat="1" ht="19.5" customHeight="1">
      <c r="A14" s="573">
        <v>220</v>
      </c>
      <c r="B14" s="298" t="s">
        <v>225</v>
      </c>
      <c r="C14" s="273">
        <v>46356000</v>
      </c>
      <c r="D14" s="273">
        <v>18000000</v>
      </c>
      <c r="E14" s="273">
        <v>0</v>
      </c>
      <c r="F14" s="273">
        <v>20000000</v>
      </c>
      <c r="G14" s="273">
        <v>32000000</v>
      </c>
      <c r="H14" s="273">
        <v>40000000</v>
      </c>
      <c r="I14" s="273">
        <v>29792000</v>
      </c>
      <c r="J14" s="273">
        <v>14896000</v>
      </c>
      <c r="K14" s="273">
        <v>14896000</v>
      </c>
      <c r="L14" s="273"/>
      <c r="M14" s="273"/>
      <c r="N14" s="273"/>
      <c r="O14" s="273"/>
      <c r="P14" s="273"/>
      <c r="Q14" s="273"/>
      <c r="R14" s="273"/>
      <c r="S14" s="247"/>
      <c r="T14" s="273">
        <f t="shared" si="0"/>
        <v>0</v>
      </c>
    </row>
    <row r="15" spans="1:20" s="572" customFormat="1" ht="19.5" customHeight="1">
      <c r="A15" s="573">
        <v>2210</v>
      </c>
      <c r="B15" s="298" t="s">
        <v>226</v>
      </c>
      <c r="C15" s="273">
        <v>270000000</v>
      </c>
      <c r="D15" s="273">
        <v>700000000</v>
      </c>
      <c r="E15" s="273">
        <v>850900000</v>
      </c>
      <c r="F15" s="273">
        <v>885527289</v>
      </c>
      <c r="G15" s="273">
        <v>855000000</v>
      </c>
      <c r="H15" s="273">
        <v>855000000</v>
      </c>
      <c r="I15" s="273">
        <v>855000000</v>
      </c>
      <c r="J15" s="273">
        <v>1381000000</v>
      </c>
      <c r="K15" s="273">
        <v>2000000000</v>
      </c>
      <c r="L15" s="273"/>
      <c r="M15" s="273"/>
      <c r="N15" s="273"/>
      <c r="O15" s="273"/>
      <c r="P15" s="273"/>
      <c r="Q15" s="273"/>
      <c r="R15" s="273"/>
      <c r="S15" s="247">
        <v>0</v>
      </c>
      <c r="T15" s="273">
        <f t="shared" si="0"/>
        <v>0</v>
      </c>
    </row>
    <row r="16" spans="1:20" s="572" customFormat="1" ht="19.5" customHeight="1">
      <c r="A16" s="574">
        <v>22101</v>
      </c>
      <c r="B16" s="273" t="s">
        <v>33</v>
      </c>
      <c r="C16" s="273">
        <v>103390300</v>
      </c>
      <c r="D16" s="273">
        <v>229000000</v>
      </c>
      <c r="E16" s="273">
        <v>229000000</v>
      </c>
      <c r="F16" s="273">
        <v>229000000</v>
      </c>
      <c r="G16" s="273">
        <v>151200000</v>
      </c>
      <c r="H16" s="273">
        <v>189000000</v>
      </c>
      <c r="I16" s="273">
        <v>189000000</v>
      </c>
      <c r="J16" s="273">
        <v>219441000</v>
      </c>
      <c r="K16" s="273">
        <v>109000000</v>
      </c>
      <c r="L16" s="273">
        <v>55000000</v>
      </c>
      <c r="M16" s="273">
        <f>96000000</f>
        <v>96000000</v>
      </c>
      <c r="N16" s="273">
        <v>219200000</v>
      </c>
      <c r="O16" s="273">
        <v>431376000</v>
      </c>
      <c r="P16" s="273">
        <v>501376000</v>
      </c>
      <c r="Q16" s="273">
        <v>501376000</v>
      </c>
      <c r="R16" s="273">
        <v>501376000</v>
      </c>
      <c r="S16" s="247">
        <v>460169600</v>
      </c>
      <c r="T16" s="273">
        <f t="shared" si="0"/>
        <v>-41206400</v>
      </c>
    </row>
    <row r="17" spans="1:20" s="572" customFormat="1" ht="19.5" customHeight="1">
      <c r="A17" s="574">
        <v>22102</v>
      </c>
      <c r="B17" s="273" t="s">
        <v>124</v>
      </c>
      <c r="C17" s="273">
        <v>25247000</v>
      </c>
      <c r="D17" s="273">
        <v>12184000</v>
      </c>
      <c r="E17" s="273">
        <v>15184000</v>
      </c>
      <c r="F17" s="273">
        <v>15184000</v>
      </c>
      <c r="G17" s="273">
        <v>28147200</v>
      </c>
      <c r="H17" s="273">
        <v>35184000</v>
      </c>
      <c r="I17" s="273">
        <v>26205043</v>
      </c>
      <c r="J17" s="273">
        <v>26205043</v>
      </c>
      <c r="K17" s="273">
        <v>105566000</v>
      </c>
      <c r="L17" s="273">
        <v>14896000</v>
      </c>
      <c r="M17" s="273">
        <f>14896000</f>
        <v>14896000</v>
      </c>
      <c r="N17" s="273">
        <v>89376000</v>
      </c>
      <c r="O17" s="273">
        <v>0</v>
      </c>
      <c r="P17" s="273">
        <v>0</v>
      </c>
      <c r="Q17" s="273">
        <v>0</v>
      </c>
      <c r="R17" s="273">
        <v>0</v>
      </c>
      <c r="S17" s="247">
        <v>0</v>
      </c>
      <c r="T17" s="273">
        <f t="shared" si="0"/>
        <v>0</v>
      </c>
    </row>
    <row r="18" spans="1:20" s="572" customFormat="1" ht="19.5" customHeight="1">
      <c r="A18" s="574">
        <v>22103</v>
      </c>
      <c r="B18" s="273" t="s">
        <v>489</v>
      </c>
      <c r="C18" s="273">
        <v>97356000</v>
      </c>
      <c r="D18" s="273">
        <v>60000000</v>
      </c>
      <c r="E18" s="273">
        <v>60000000</v>
      </c>
      <c r="F18" s="273">
        <v>181972636</v>
      </c>
      <c r="G18" s="273">
        <v>650000000</v>
      </c>
      <c r="H18" s="273">
        <v>650000000</v>
      </c>
      <c r="I18" s="273">
        <v>650000000</v>
      </c>
      <c r="J18" s="273">
        <v>1000000000</v>
      </c>
      <c r="K18" s="273">
        <v>22814714</v>
      </c>
      <c r="L18" s="273">
        <v>3152136000</v>
      </c>
      <c r="M18" s="273">
        <f>3152136000-2000000000</f>
        <v>1152136000</v>
      </c>
      <c r="N18" s="273">
        <v>859536750</v>
      </c>
      <c r="O18" s="273">
        <v>0</v>
      </c>
      <c r="P18" s="273">
        <v>0</v>
      </c>
      <c r="Q18" s="273">
        <v>0</v>
      </c>
      <c r="R18" s="273">
        <v>0</v>
      </c>
      <c r="S18" s="247">
        <v>0</v>
      </c>
      <c r="T18" s="273">
        <f t="shared" si="0"/>
        <v>0</v>
      </c>
    </row>
    <row r="19" spans="1:20" s="572" customFormat="1" ht="19.5" customHeight="1">
      <c r="A19" s="574">
        <v>22104</v>
      </c>
      <c r="B19" s="273" t="s">
        <v>157</v>
      </c>
      <c r="C19" s="273"/>
      <c r="D19" s="273"/>
      <c r="E19" s="273"/>
      <c r="F19" s="273"/>
      <c r="G19" s="273"/>
      <c r="H19" s="273">
        <v>0</v>
      </c>
      <c r="I19" s="273">
        <v>1326000000</v>
      </c>
      <c r="J19" s="273">
        <v>650000000</v>
      </c>
      <c r="K19" s="273">
        <v>94480000</v>
      </c>
      <c r="L19" s="273">
        <v>159000000</v>
      </c>
      <c r="M19" s="273">
        <f>100000000</f>
        <v>100000000</v>
      </c>
      <c r="N19" s="273">
        <v>185000000</v>
      </c>
      <c r="O19" s="273">
        <v>245000000</v>
      </c>
      <c r="P19" s="273">
        <v>295000000</v>
      </c>
      <c r="Q19" s="273">
        <v>295000000</v>
      </c>
      <c r="R19" s="273">
        <v>450000000</v>
      </c>
      <c r="S19" s="247">
        <v>658000000</v>
      </c>
      <c r="T19" s="273">
        <f t="shared" si="0"/>
        <v>208000000</v>
      </c>
    </row>
    <row r="20" spans="1:20" s="572" customFormat="1" ht="19.5" customHeight="1">
      <c r="A20" s="574">
        <v>22105</v>
      </c>
      <c r="B20" s="273" t="s">
        <v>135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33928619</v>
      </c>
      <c r="L20" s="273">
        <v>155000000</v>
      </c>
      <c r="M20" s="273">
        <f>270000000</f>
        <v>270000000</v>
      </c>
      <c r="N20" s="273">
        <v>270000000</v>
      </c>
      <c r="O20" s="273">
        <v>600000000</v>
      </c>
      <c r="P20" s="273">
        <v>600000000</v>
      </c>
      <c r="Q20" s="273">
        <v>600000000</v>
      </c>
      <c r="R20" s="273">
        <v>750000000</v>
      </c>
      <c r="S20" s="247">
        <v>550200000</v>
      </c>
      <c r="T20" s="273">
        <f t="shared" si="0"/>
        <v>-199800000</v>
      </c>
    </row>
    <row r="21" spans="1:20" s="572" customFormat="1" ht="19.5" customHeight="1">
      <c r="A21" s="574">
        <v>22106</v>
      </c>
      <c r="B21" s="273" t="s">
        <v>462</v>
      </c>
      <c r="C21" s="298">
        <f>SUM(C14:C20)</f>
        <v>542349300</v>
      </c>
      <c r="D21" s="298">
        <f>SUM(D14:D20)</f>
        <v>1019184000</v>
      </c>
      <c r="E21" s="298">
        <f>SUM(E13:E20)</f>
        <v>1155084000</v>
      </c>
      <c r="F21" s="298">
        <f>SUM(F14:F20)</f>
        <v>1331683925</v>
      </c>
      <c r="G21" s="298">
        <f>SUM(G14:G20)</f>
        <v>1716347200</v>
      </c>
      <c r="H21" s="298">
        <f>SUM(H14:H20)</f>
        <v>1769184000</v>
      </c>
      <c r="I21" s="298">
        <f>SUM(I14:I20)</f>
        <v>3075997043</v>
      </c>
      <c r="J21" s="298">
        <f>SUM(J14:J20)</f>
        <v>3291542043</v>
      </c>
      <c r="K21" s="273">
        <v>145000000</v>
      </c>
      <c r="L21" s="273">
        <v>22814000</v>
      </c>
      <c r="M21" s="273">
        <f>160000000</f>
        <v>160000000</v>
      </c>
      <c r="N21" s="273">
        <v>330000000</v>
      </c>
      <c r="O21" s="273">
        <v>490000000</v>
      </c>
      <c r="P21" s="273">
        <v>735000000</v>
      </c>
      <c r="Q21" s="273">
        <v>535000000</v>
      </c>
      <c r="R21" s="273">
        <v>535000000</v>
      </c>
      <c r="S21" s="247">
        <v>535000000</v>
      </c>
      <c r="T21" s="273">
        <f t="shared" si="0"/>
        <v>0</v>
      </c>
    </row>
    <row r="22" spans="1:20" s="572" customFormat="1" ht="19.5" customHeight="1">
      <c r="A22" s="574">
        <v>22107</v>
      </c>
      <c r="B22" s="273" t="s">
        <v>48</v>
      </c>
      <c r="C22" s="298"/>
      <c r="D22" s="298"/>
      <c r="E22" s="298"/>
      <c r="F22" s="298"/>
      <c r="G22" s="298"/>
      <c r="H22" s="298"/>
      <c r="I22" s="298"/>
      <c r="J22" s="298"/>
      <c r="K22" s="273">
        <v>546300000</v>
      </c>
      <c r="L22" s="273">
        <v>94480000</v>
      </c>
      <c r="M22" s="273">
        <v>0</v>
      </c>
      <c r="N22" s="273">
        <v>50000000</v>
      </c>
      <c r="O22" s="273">
        <v>200000000</v>
      </c>
      <c r="P22" s="273">
        <v>250000000</v>
      </c>
      <c r="Q22" s="273">
        <v>250000000</v>
      </c>
      <c r="R22" s="273">
        <v>250000000</v>
      </c>
      <c r="S22" s="247">
        <v>0</v>
      </c>
      <c r="T22" s="273">
        <f t="shared" si="0"/>
        <v>-250000000</v>
      </c>
    </row>
    <row r="23" spans="1:20" s="572" customFormat="1" ht="19.5" customHeight="1">
      <c r="A23" s="574">
        <v>22108</v>
      </c>
      <c r="B23" s="273" t="s">
        <v>1371</v>
      </c>
      <c r="C23" s="298"/>
      <c r="D23" s="298"/>
      <c r="E23" s="298"/>
      <c r="F23" s="298"/>
      <c r="G23" s="298"/>
      <c r="H23" s="298"/>
      <c r="I23" s="298"/>
      <c r="J23" s="298"/>
      <c r="K23" s="273"/>
      <c r="L23" s="273"/>
      <c r="M23" s="273"/>
      <c r="N23" s="273"/>
      <c r="O23" s="273"/>
      <c r="P23" s="273"/>
      <c r="Q23" s="273"/>
      <c r="R23" s="273"/>
      <c r="S23" s="247">
        <v>150000000</v>
      </c>
      <c r="T23" s="273"/>
    </row>
    <row r="24" spans="1:20" s="572" customFormat="1" ht="19.5" customHeight="1">
      <c r="A24" s="574">
        <v>22109</v>
      </c>
      <c r="B24" s="273" t="s">
        <v>136</v>
      </c>
      <c r="C24" s="298"/>
      <c r="D24" s="298"/>
      <c r="E24" s="298"/>
      <c r="F24" s="298"/>
      <c r="G24" s="298"/>
      <c r="H24" s="298"/>
      <c r="I24" s="298"/>
      <c r="J24" s="298"/>
      <c r="K24" s="273">
        <v>2860000000</v>
      </c>
      <c r="L24" s="273">
        <v>80000000</v>
      </c>
      <c r="M24" s="273">
        <f>80000000</f>
        <v>80000000</v>
      </c>
      <c r="N24" s="273">
        <v>90000000</v>
      </c>
      <c r="O24" s="273">
        <v>150000000</v>
      </c>
      <c r="P24" s="273">
        <v>220000000</v>
      </c>
      <c r="Q24" s="273">
        <v>220000000</v>
      </c>
      <c r="R24" s="273">
        <v>320000000</v>
      </c>
      <c r="S24" s="247">
        <v>340000000</v>
      </c>
      <c r="T24" s="273">
        <f t="shared" si="0"/>
        <v>20000000</v>
      </c>
    </row>
    <row r="25" spans="1:20" s="572" customFormat="1" ht="19.5" customHeight="1">
      <c r="A25" s="574">
        <v>22110</v>
      </c>
      <c r="B25" s="273" t="s">
        <v>305</v>
      </c>
      <c r="C25" s="298"/>
      <c r="D25" s="298"/>
      <c r="E25" s="298"/>
      <c r="F25" s="298"/>
      <c r="G25" s="298"/>
      <c r="H25" s="298"/>
      <c r="I25" s="298"/>
      <c r="J25" s="298"/>
      <c r="K25" s="273"/>
      <c r="L25" s="273">
        <v>145000000</v>
      </c>
      <c r="M25" s="273">
        <f>100000000</f>
        <v>100000000</v>
      </c>
      <c r="N25" s="273">
        <v>250000000</v>
      </c>
      <c r="O25" s="273">
        <v>300000000</v>
      </c>
      <c r="P25" s="273">
        <v>600000000</v>
      </c>
      <c r="Q25" s="273">
        <v>400000000</v>
      </c>
      <c r="R25" s="273">
        <v>400000000</v>
      </c>
      <c r="S25" s="247">
        <v>400000000</v>
      </c>
      <c r="T25" s="273">
        <f t="shared" si="0"/>
        <v>0</v>
      </c>
    </row>
    <row r="26" spans="1:20" s="572" customFormat="1" ht="19.5" customHeight="1">
      <c r="A26" s="574">
        <v>22111</v>
      </c>
      <c r="B26" s="273" t="s">
        <v>141</v>
      </c>
      <c r="C26" s="298"/>
      <c r="D26" s="298"/>
      <c r="E26" s="298"/>
      <c r="F26" s="298"/>
      <c r="G26" s="298"/>
      <c r="H26" s="298"/>
      <c r="I26" s="298"/>
      <c r="J26" s="298"/>
      <c r="K26" s="273"/>
      <c r="L26" s="273">
        <v>546300000</v>
      </c>
      <c r="M26" s="273">
        <f>8581957092-2000000000-216000000-68493120+702536028</f>
        <v>7000000000</v>
      </c>
      <c r="N26" s="273">
        <v>6586288000</v>
      </c>
      <c r="O26" s="273">
        <v>0</v>
      </c>
      <c r="P26" s="273">
        <v>0</v>
      </c>
      <c r="Q26" s="273">
        <v>0</v>
      </c>
      <c r="R26" s="273">
        <v>0</v>
      </c>
      <c r="S26" s="247">
        <v>0</v>
      </c>
      <c r="T26" s="273">
        <f t="shared" si="0"/>
        <v>0</v>
      </c>
    </row>
    <row r="27" spans="1:20" s="572" customFormat="1" ht="19.5" customHeight="1">
      <c r="A27" s="574">
        <v>22112</v>
      </c>
      <c r="B27" s="273" t="s">
        <v>35</v>
      </c>
      <c r="C27" s="298"/>
      <c r="D27" s="298"/>
      <c r="E27" s="298"/>
      <c r="F27" s="298"/>
      <c r="G27" s="298"/>
      <c r="H27" s="298"/>
      <c r="I27" s="298"/>
      <c r="J27" s="298"/>
      <c r="K27" s="273">
        <v>786200000</v>
      </c>
      <c r="L27" s="273">
        <v>174000000</v>
      </c>
      <c r="M27" s="273">
        <f>174000000</f>
        <v>174000000</v>
      </c>
      <c r="N27" s="273">
        <v>200000000</v>
      </c>
      <c r="O27" s="273">
        <v>250000000</v>
      </c>
      <c r="P27" s="273">
        <v>300000000</v>
      </c>
      <c r="Q27" s="273">
        <v>300000000</v>
      </c>
      <c r="R27" s="273">
        <v>350000000</v>
      </c>
      <c r="S27" s="247">
        <v>350000000</v>
      </c>
      <c r="T27" s="273">
        <f t="shared" si="0"/>
        <v>0</v>
      </c>
    </row>
    <row r="28" spans="1:20" s="572" customFormat="1" ht="19.5" customHeight="1">
      <c r="A28" s="574">
        <v>22122</v>
      </c>
      <c r="B28" s="273" t="s">
        <v>899</v>
      </c>
      <c r="C28" s="298"/>
      <c r="D28" s="298"/>
      <c r="E28" s="298"/>
      <c r="F28" s="298"/>
      <c r="G28" s="298"/>
      <c r="H28" s="298"/>
      <c r="I28" s="298"/>
      <c r="J28" s="298"/>
      <c r="K28" s="273"/>
      <c r="L28" s="273"/>
      <c r="M28" s="273"/>
      <c r="N28" s="273"/>
      <c r="O28" s="273">
        <v>0</v>
      </c>
      <c r="P28" s="273">
        <v>250000000</v>
      </c>
      <c r="Q28" s="273">
        <v>250000000</v>
      </c>
      <c r="R28" s="273">
        <f>Q28</f>
        <v>250000000</v>
      </c>
      <c r="S28" s="247">
        <v>250000000</v>
      </c>
      <c r="T28" s="273">
        <f t="shared" si="0"/>
        <v>0</v>
      </c>
    </row>
    <row r="29" spans="1:20" s="572" customFormat="1" ht="19.5" customHeight="1">
      <c r="A29" s="574">
        <v>22125</v>
      </c>
      <c r="B29" s="273" t="s">
        <v>1226</v>
      </c>
      <c r="C29" s="298"/>
      <c r="D29" s="298"/>
      <c r="E29" s="298"/>
      <c r="F29" s="298"/>
      <c r="G29" s="298"/>
      <c r="H29" s="298"/>
      <c r="I29" s="298"/>
      <c r="J29" s="298"/>
      <c r="K29" s="273"/>
      <c r="L29" s="273"/>
      <c r="M29" s="273"/>
      <c r="N29" s="273"/>
      <c r="O29" s="273"/>
      <c r="P29" s="273"/>
      <c r="Q29" s="273">
        <v>0</v>
      </c>
      <c r="R29" s="273">
        <v>693600000</v>
      </c>
      <c r="S29" s="247">
        <v>443700000</v>
      </c>
      <c r="T29" s="273">
        <f t="shared" si="0"/>
        <v>-249900000</v>
      </c>
    </row>
    <row r="30" spans="1:20" s="572" customFormat="1" ht="19.5" customHeight="1">
      <c r="A30" s="574">
        <v>22126</v>
      </c>
      <c r="B30" s="273" t="s">
        <v>313</v>
      </c>
      <c r="C30" s="298"/>
      <c r="D30" s="298"/>
      <c r="E30" s="298"/>
      <c r="F30" s="298"/>
      <c r="G30" s="298"/>
      <c r="H30" s="298"/>
      <c r="I30" s="298"/>
      <c r="J30" s="298"/>
      <c r="K30" s="273"/>
      <c r="L30" s="273">
        <v>786200000</v>
      </c>
      <c r="M30" s="273">
        <f>500000000</f>
        <v>500000000</v>
      </c>
      <c r="N30" s="273">
        <v>600000000</v>
      </c>
      <c r="O30" s="273">
        <v>1500000000</v>
      </c>
      <c r="P30" s="273">
        <v>2000000000</v>
      </c>
      <c r="Q30" s="273">
        <v>2144000000</v>
      </c>
      <c r="R30" s="273">
        <v>1715200000</v>
      </c>
      <c r="S30" s="247">
        <v>612920000</v>
      </c>
      <c r="T30" s="273">
        <f t="shared" si="0"/>
        <v>-1102280000</v>
      </c>
    </row>
    <row r="31" spans="1:20" s="572" customFormat="1" ht="19.5" customHeight="1">
      <c r="A31" s="574">
        <v>22129</v>
      </c>
      <c r="B31" s="273" t="s">
        <v>314</v>
      </c>
      <c r="C31" s="298"/>
      <c r="D31" s="298"/>
      <c r="E31" s="298"/>
      <c r="F31" s="298"/>
      <c r="G31" s="298"/>
      <c r="H31" s="298"/>
      <c r="I31" s="298"/>
      <c r="J31" s="298"/>
      <c r="K31" s="273"/>
      <c r="L31" s="273">
        <v>50000000</v>
      </c>
      <c r="M31" s="273">
        <f>30000000</f>
        <v>30000000</v>
      </c>
      <c r="N31" s="273">
        <v>0</v>
      </c>
      <c r="O31" s="273">
        <v>0</v>
      </c>
      <c r="P31" s="273">
        <v>45000000</v>
      </c>
      <c r="Q31" s="273">
        <v>75000000</v>
      </c>
      <c r="R31" s="273">
        <v>100000000</v>
      </c>
      <c r="S31" s="247">
        <v>150000000</v>
      </c>
      <c r="T31" s="273">
        <f t="shared" si="0"/>
        <v>50000000</v>
      </c>
    </row>
    <row r="32" spans="1:20" s="572" customFormat="1" ht="19.5" customHeight="1">
      <c r="A32" s="574">
        <v>22128</v>
      </c>
      <c r="B32" s="273" t="s">
        <v>859</v>
      </c>
      <c r="C32" s="298"/>
      <c r="D32" s="298"/>
      <c r="E32" s="298"/>
      <c r="F32" s="298"/>
      <c r="G32" s="298"/>
      <c r="H32" s="298"/>
      <c r="I32" s="298"/>
      <c r="J32" s="298"/>
      <c r="K32" s="273"/>
      <c r="L32" s="273">
        <v>200000000</v>
      </c>
      <c r="M32" s="273">
        <f>360000000+100000000</f>
        <v>460000000</v>
      </c>
      <c r="N32" s="273">
        <v>462000000</v>
      </c>
      <c r="O32" s="273">
        <v>962000000</v>
      </c>
      <c r="P32" s="273">
        <v>1100000000</v>
      </c>
      <c r="Q32" s="273">
        <v>1500000000</v>
      </c>
      <c r="R32" s="273">
        <v>1600000000</v>
      </c>
      <c r="S32" s="247">
        <f>R32</f>
        <v>1600000000</v>
      </c>
      <c r="T32" s="273">
        <f t="shared" si="0"/>
        <v>0</v>
      </c>
    </row>
    <row r="33" spans="1:20" s="572" customFormat="1" ht="19.5" customHeight="1">
      <c r="A33" s="574">
        <v>22128</v>
      </c>
      <c r="B33" s="273" t="s">
        <v>906</v>
      </c>
      <c r="C33" s="298"/>
      <c r="D33" s="298"/>
      <c r="E33" s="298"/>
      <c r="F33" s="298"/>
      <c r="G33" s="298"/>
      <c r="H33" s="298"/>
      <c r="I33" s="298"/>
      <c r="J33" s="298"/>
      <c r="K33" s="273"/>
      <c r="L33" s="273"/>
      <c r="M33" s="273"/>
      <c r="N33" s="273"/>
      <c r="O33" s="273">
        <v>0</v>
      </c>
      <c r="P33" s="273">
        <v>800000000</v>
      </c>
      <c r="Q33" s="273">
        <v>800000000</v>
      </c>
      <c r="R33" s="273">
        <v>1040000000</v>
      </c>
      <c r="S33" s="247">
        <v>884000000</v>
      </c>
      <c r="T33" s="273">
        <f t="shared" si="0"/>
        <v>-156000000</v>
      </c>
    </row>
    <row r="34" spans="1:20" s="572" customFormat="1" ht="19.5" customHeight="1">
      <c r="A34" s="574">
        <v>22130</v>
      </c>
      <c r="B34" s="273" t="s">
        <v>836</v>
      </c>
      <c r="C34" s="298"/>
      <c r="D34" s="298"/>
      <c r="E34" s="298"/>
      <c r="F34" s="298"/>
      <c r="G34" s="298"/>
      <c r="H34" s="298"/>
      <c r="I34" s="298"/>
      <c r="J34" s="298"/>
      <c r="K34" s="273"/>
      <c r="L34" s="273"/>
      <c r="M34" s="273"/>
      <c r="N34" s="273">
        <v>0</v>
      </c>
      <c r="O34" s="273">
        <v>1120000000</v>
      </c>
      <c r="P34" s="273">
        <v>1575000000</v>
      </c>
      <c r="Q34" s="273">
        <v>1575000000</v>
      </c>
      <c r="R34" s="273">
        <v>1625000000</v>
      </c>
      <c r="S34" s="247">
        <v>1638752000</v>
      </c>
      <c r="T34" s="273">
        <f t="shared" si="0"/>
        <v>13752000</v>
      </c>
    </row>
    <row r="35" spans="1:20" s="572" customFormat="1" ht="19.5" customHeight="1">
      <c r="A35" s="574">
        <v>22131</v>
      </c>
      <c r="B35" s="273" t="s">
        <v>860</v>
      </c>
      <c r="C35" s="298"/>
      <c r="D35" s="298"/>
      <c r="E35" s="298"/>
      <c r="F35" s="298"/>
      <c r="G35" s="298"/>
      <c r="H35" s="298"/>
      <c r="I35" s="298"/>
      <c r="J35" s="298"/>
      <c r="K35" s="273"/>
      <c r="L35" s="273">
        <v>179000000</v>
      </c>
      <c r="M35" s="273">
        <f>179000000</f>
        <v>179000000</v>
      </c>
      <c r="N35" s="273">
        <v>219000000</v>
      </c>
      <c r="O35" s="273">
        <v>1150000000</v>
      </c>
      <c r="P35" s="273">
        <v>1450000000</v>
      </c>
      <c r="Q35" s="273">
        <v>2450000000</v>
      </c>
      <c r="R35" s="273">
        <v>2450000000</v>
      </c>
      <c r="S35" s="247">
        <v>1301560000</v>
      </c>
      <c r="T35" s="273">
        <f t="shared" si="0"/>
        <v>-1148440000</v>
      </c>
    </row>
    <row r="36" spans="1:20" s="572" customFormat="1" ht="19.5" customHeight="1">
      <c r="A36" s="574">
        <v>22132</v>
      </c>
      <c r="B36" s="273" t="s">
        <v>1378</v>
      </c>
      <c r="C36" s="298"/>
      <c r="D36" s="298"/>
      <c r="E36" s="298"/>
      <c r="F36" s="298"/>
      <c r="G36" s="298"/>
      <c r="H36" s="298"/>
      <c r="I36" s="298"/>
      <c r="J36" s="298"/>
      <c r="K36" s="273"/>
      <c r="L36" s="273"/>
      <c r="M36" s="273"/>
      <c r="N36" s="273"/>
      <c r="O36" s="273"/>
      <c r="P36" s="273"/>
      <c r="Q36" s="273"/>
      <c r="R36" s="273"/>
      <c r="S36" s="247">
        <v>2450374000</v>
      </c>
      <c r="T36" s="273"/>
    </row>
    <row r="37" spans="1:20" s="572" customFormat="1" ht="19.5" customHeight="1">
      <c r="A37" s="574">
        <v>22136</v>
      </c>
      <c r="B37" s="273" t="s">
        <v>1274</v>
      </c>
      <c r="C37" s="298"/>
      <c r="D37" s="298"/>
      <c r="E37" s="298"/>
      <c r="F37" s="298"/>
      <c r="G37" s="298"/>
      <c r="H37" s="298"/>
      <c r="I37" s="298"/>
      <c r="J37" s="298"/>
      <c r="K37" s="273"/>
      <c r="L37" s="273"/>
      <c r="M37" s="273"/>
      <c r="N37" s="273"/>
      <c r="O37" s="273"/>
      <c r="P37" s="273"/>
      <c r="Q37" s="273">
        <v>0</v>
      </c>
      <c r="R37" s="273">
        <v>306000000</v>
      </c>
      <c r="S37" s="247">
        <v>306000000</v>
      </c>
      <c r="T37" s="273">
        <f t="shared" si="0"/>
        <v>0</v>
      </c>
    </row>
    <row r="38" spans="1:20" s="572" customFormat="1" ht="19.5" customHeight="1">
      <c r="A38" s="574">
        <v>22134</v>
      </c>
      <c r="B38" s="273" t="s">
        <v>1435</v>
      </c>
      <c r="C38" s="298"/>
      <c r="D38" s="298"/>
      <c r="E38" s="298"/>
      <c r="F38" s="298"/>
      <c r="G38" s="298"/>
      <c r="H38" s="298"/>
      <c r="I38" s="298"/>
      <c r="J38" s="298"/>
      <c r="K38" s="273"/>
      <c r="L38" s="273"/>
      <c r="M38" s="273"/>
      <c r="N38" s="273"/>
      <c r="O38" s="273"/>
      <c r="P38" s="273"/>
      <c r="Q38" s="273"/>
      <c r="R38" s="273"/>
      <c r="S38" s="247">
        <v>2100000000</v>
      </c>
      <c r="T38" s="273">
        <f t="shared" si="0"/>
        <v>2100000000</v>
      </c>
    </row>
    <row r="39" spans="1:20" s="572" customFormat="1" ht="19.5" customHeight="1">
      <c r="A39" s="574">
        <v>22137</v>
      </c>
      <c r="B39" s="273" t="s">
        <v>163</v>
      </c>
      <c r="C39" s="298"/>
      <c r="D39" s="298"/>
      <c r="E39" s="298"/>
      <c r="F39" s="298"/>
      <c r="G39" s="298"/>
      <c r="H39" s="298"/>
      <c r="I39" s="298"/>
      <c r="J39" s="298"/>
      <c r="K39" s="273"/>
      <c r="L39" s="273">
        <v>80000000</v>
      </c>
      <c r="M39" s="273">
        <f>80000000</f>
        <v>80000000</v>
      </c>
      <c r="N39" s="273">
        <v>378000000</v>
      </c>
      <c r="O39" s="273">
        <v>1200000000</v>
      </c>
      <c r="P39" s="273">
        <v>1500000000</v>
      </c>
      <c r="Q39" s="273">
        <v>1500000000</v>
      </c>
      <c r="R39" s="273">
        <v>1500000000</v>
      </c>
      <c r="S39" s="247">
        <v>1500000000</v>
      </c>
      <c r="T39" s="273">
        <f t="shared" si="0"/>
        <v>0</v>
      </c>
    </row>
    <row r="40" spans="1:20" s="572" customFormat="1" ht="19.5" customHeight="1">
      <c r="A40" s="574">
        <v>22149</v>
      </c>
      <c r="B40" s="273" t="s">
        <v>907</v>
      </c>
      <c r="C40" s="298"/>
      <c r="D40" s="298"/>
      <c r="E40" s="298"/>
      <c r="F40" s="298"/>
      <c r="G40" s="298"/>
      <c r="H40" s="298"/>
      <c r="I40" s="298"/>
      <c r="J40" s="298"/>
      <c r="K40" s="273"/>
      <c r="L40" s="273"/>
      <c r="M40" s="273"/>
      <c r="N40" s="273"/>
      <c r="O40" s="273">
        <v>0</v>
      </c>
      <c r="P40" s="273">
        <v>200000000</v>
      </c>
      <c r="Q40" s="273">
        <v>200000000</v>
      </c>
      <c r="R40" s="273">
        <v>200000000</v>
      </c>
      <c r="S40" s="247">
        <v>200000000</v>
      </c>
      <c r="T40" s="273">
        <f t="shared" si="0"/>
        <v>0</v>
      </c>
    </row>
    <row r="41" spans="1:20" s="572" customFormat="1" ht="19.5" customHeight="1">
      <c r="A41" s="574">
        <v>22155</v>
      </c>
      <c r="B41" s="273" t="s">
        <v>908</v>
      </c>
      <c r="C41" s="298"/>
      <c r="D41" s="298"/>
      <c r="E41" s="298"/>
      <c r="F41" s="298"/>
      <c r="G41" s="298"/>
      <c r="H41" s="298"/>
      <c r="I41" s="298"/>
      <c r="J41" s="298"/>
      <c r="K41" s="273"/>
      <c r="L41" s="273"/>
      <c r="M41" s="273"/>
      <c r="N41" s="273"/>
      <c r="O41" s="273">
        <v>0</v>
      </c>
      <c r="P41" s="273">
        <v>300000000</v>
      </c>
      <c r="Q41" s="273">
        <v>0</v>
      </c>
      <c r="R41" s="273">
        <v>0</v>
      </c>
      <c r="S41" s="247">
        <v>0</v>
      </c>
      <c r="T41" s="273">
        <f t="shared" si="0"/>
        <v>0</v>
      </c>
    </row>
    <row r="42" spans="1:20" s="572" customFormat="1" ht="19.5" customHeight="1">
      <c r="A42" s="574">
        <v>22157</v>
      </c>
      <c r="B42" s="273" t="s">
        <v>1225</v>
      </c>
      <c r="C42" s="298"/>
      <c r="D42" s="298"/>
      <c r="E42" s="298"/>
      <c r="F42" s="298"/>
      <c r="G42" s="298"/>
      <c r="H42" s="298"/>
      <c r="I42" s="298"/>
      <c r="J42" s="298"/>
      <c r="K42" s="273"/>
      <c r="L42" s="273"/>
      <c r="M42" s="273"/>
      <c r="N42" s="273">
        <v>0</v>
      </c>
      <c r="O42" s="273">
        <v>250000000</v>
      </c>
      <c r="P42" s="273">
        <v>200000000</v>
      </c>
      <c r="Q42" s="273">
        <v>0</v>
      </c>
      <c r="R42" s="273">
        <v>120000000</v>
      </c>
      <c r="S42" s="247">
        <v>0</v>
      </c>
      <c r="T42" s="273">
        <f t="shared" si="0"/>
        <v>-120000000</v>
      </c>
    </row>
    <row r="43" spans="1:20" s="572" customFormat="1" ht="19.5" customHeight="1">
      <c r="A43" s="574">
        <v>22190</v>
      </c>
      <c r="B43" s="273" t="s">
        <v>1277</v>
      </c>
      <c r="C43" s="298"/>
      <c r="D43" s="298"/>
      <c r="E43" s="298"/>
      <c r="F43" s="298"/>
      <c r="G43" s="298"/>
      <c r="H43" s="298"/>
      <c r="I43" s="298"/>
      <c r="J43" s="298"/>
      <c r="K43" s="273"/>
      <c r="L43" s="273"/>
      <c r="M43" s="273"/>
      <c r="N43" s="273"/>
      <c r="O43" s="273"/>
      <c r="P43" s="273"/>
      <c r="Q43" s="273">
        <v>0</v>
      </c>
      <c r="R43" s="273">
        <v>300000000</v>
      </c>
      <c r="S43" s="247">
        <v>300000000</v>
      </c>
      <c r="T43" s="273">
        <f t="shared" si="0"/>
        <v>0</v>
      </c>
    </row>
    <row r="44" spans="1:20" s="572" customFormat="1" ht="19.5" customHeight="1">
      <c r="A44" s="574"/>
      <c r="B44" s="298" t="s">
        <v>92</v>
      </c>
      <c r="C44" s="298"/>
      <c r="D44" s="298"/>
      <c r="E44" s="298"/>
      <c r="F44" s="298"/>
      <c r="G44" s="298"/>
      <c r="H44" s="298"/>
      <c r="I44" s="298"/>
      <c r="J44" s="298"/>
      <c r="K44" s="273">
        <v>0</v>
      </c>
      <c r="L44" s="298">
        <f>SUM(L16:L39)</f>
        <v>5893826000</v>
      </c>
      <c r="M44" s="298">
        <f>SUM(M16:M39)</f>
        <v>10396032000</v>
      </c>
      <c r="N44" s="298">
        <f>SUM(N16:N42)</f>
        <v>10788400750</v>
      </c>
      <c r="O44" s="298">
        <f>SUM(O16:O42)</f>
        <v>8848376000</v>
      </c>
      <c r="P44" s="298">
        <f>SUM(P16:P42)</f>
        <v>12921376000</v>
      </c>
      <c r="Q44" s="298">
        <f>SUM(Q16:Q43)</f>
        <v>13595376000</v>
      </c>
      <c r="R44" s="298">
        <f>SUM(R16:R43)</f>
        <v>15456176000</v>
      </c>
      <c r="S44" s="256">
        <f>SUM(S16:S43)</f>
        <v>17180675600</v>
      </c>
      <c r="T44" s="298">
        <f t="shared" si="0"/>
        <v>1724499600</v>
      </c>
    </row>
    <row r="45" spans="1:20" s="572" customFormat="1" ht="19.5" customHeight="1">
      <c r="A45" s="573">
        <v>2220</v>
      </c>
      <c r="B45" s="298" t="s">
        <v>240</v>
      </c>
      <c r="C45" s="298"/>
      <c r="D45" s="298"/>
      <c r="E45" s="298"/>
      <c r="F45" s="298"/>
      <c r="G45" s="298"/>
      <c r="H45" s="298"/>
      <c r="I45" s="298"/>
      <c r="J45" s="298"/>
      <c r="K45" s="273">
        <v>59584000</v>
      </c>
      <c r="L45" s="273"/>
      <c r="M45" s="273"/>
      <c r="N45" s="273"/>
      <c r="O45" s="273"/>
      <c r="P45" s="273"/>
      <c r="Q45" s="273"/>
      <c r="R45" s="273"/>
      <c r="S45" s="247"/>
      <c r="T45" s="273">
        <f t="shared" si="0"/>
        <v>0</v>
      </c>
    </row>
    <row r="46" spans="1:20" s="572" customFormat="1" ht="19.5" customHeight="1">
      <c r="A46" s="574">
        <v>22201</v>
      </c>
      <c r="B46" s="273" t="s">
        <v>132</v>
      </c>
      <c r="C46" s="298"/>
      <c r="D46" s="298"/>
      <c r="E46" s="298"/>
      <c r="F46" s="298"/>
      <c r="G46" s="298"/>
      <c r="H46" s="298"/>
      <c r="I46" s="298"/>
      <c r="J46" s="298"/>
      <c r="K46" s="273">
        <v>645294720</v>
      </c>
      <c r="L46" s="273">
        <v>14896000</v>
      </c>
      <c r="M46" s="273">
        <f>14896000</f>
        <v>14896000</v>
      </c>
      <c r="N46" s="273">
        <v>60000000</v>
      </c>
      <c r="O46" s="273">
        <v>260000000</v>
      </c>
      <c r="P46" s="273">
        <v>260000000</v>
      </c>
      <c r="Q46" s="273">
        <v>260000000</v>
      </c>
      <c r="R46" s="273">
        <v>260000000</v>
      </c>
      <c r="S46" s="247">
        <v>260000000</v>
      </c>
      <c r="T46" s="273">
        <f t="shared" si="0"/>
        <v>0</v>
      </c>
    </row>
    <row r="47" spans="1:20" s="572" customFormat="1" ht="19.5" customHeight="1">
      <c r="A47" s="574">
        <v>22202</v>
      </c>
      <c r="B47" s="273" t="s">
        <v>537</v>
      </c>
      <c r="C47" s="273"/>
      <c r="D47" s="273"/>
      <c r="E47" s="273" t="s">
        <v>4</v>
      </c>
      <c r="F47" s="273" t="s">
        <v>4</v>
      </c>
      <c r="G47" s="273" t="s">
        <v>4</v>
      </c>
      <c r="H47" s="273" t="s">
        <v>4</v>
      </c>
      <c r="I47" s="273" t="s">
        <v>4</v>
      </c>
      <c r="J47" s="273"/>
      <c r="K47" s="298">
        <f>SUM(K13:K46)</f>
        <v>7498139893</v>
      </c>
      <c r="L47" s="273">
        <v>1760000000</v>
      </c>
      <c r="M47" s="273">
        <f>1700000000</f>
        <v>1700000000</v>
      </c>
      <c r="N47" s="273">
        <f>M47</f>
        <v>1700000000</v>
      </c>
      <c r="O47" s="273">
        <v>2000000000</v>
      </c>
      <c r="P47" s="273">
        <v>2500000000</v>
      </c>
      <c r="Q47" s="273">
        <v>2500000000</v>
      </c>
      <c r="R47" s="273">
        <v>3060000000</v>
      </c>
      <c r="S47" s="247">
        <v>3060000000</v>
      </c>
      <c r="T47" s="273">
        <f t="shared" si="0"/>
        <v>0</v>
      </c>
    </row>
    <row r="48" spans="1:20" s="572" customFormat="1" ht="19.5" customHeight="1">
      <c r="A48" s="574">
        <v>22203</v>
      </c>
      <c r="B48" s="273" t="s">
        <v>127</v>
      </c>
      <c r="C48" s="273">
        <v>72720000</v>
      </c>
      <c r="D48" s="273">
        <v>137761000</v>
      </c>
      <c r="E48" s="273">
        <v>0</v>
      </c>
      <c r="F48" s="273">
        <f>135300000+28698800</f>
        <v>163998800</v>
      </c>
      <c r="G48" s="273">
        <v>100000000</v>
      </c>
      <c r="H48" s="273">
        <v>140000000</v>
      </c>
      <c r="I48" s="273">
        <v>80000000</v>
      </c>
      <c r="J48" s="273">
        <v>80000000</v>
      </c>
      <c r="K48" s="273"/>
      <c r="L48" s="273">
        <v>230000000</v>
      </c>
      <c r="M48" s="273">
        <f>280000000</f>
        <v>280000000</v>
      </c>
      <c r="N48" s="273">
        <v>280000000</v>
      </c>
      <c r="O48" s="273">
        <v>360000000</v>
      </c>
      <c r="P48" s="273">
        <v>500000000</v>
      </c>
      <c r="Q48" s="273">
        <v>500000000</v>
      </c>
      <c r="R48" s="273">
        <v>600000000</v>
      </c>
      <c r="S48" s="247">
        <v>730573780</v>
      </c>
      <c r="T48" s="273">
        <f t="shared" si="0"/>
        <v>130573780</v>
      </c>
    </row>
    <row r="49" spans="1:20" s="572" customFormat="1" ht="19.5" customHeight="1">
      <c r="A49" s="574">
        <v>22204</v>
      </c>
      <c r="B49" s="273" t="s">
        <v>128</v>
      </c>
      <c r="C49" s="273">
        <v>0</v>
      </c>
      <c r="D49" s="273">
        <v>0</v>
      </c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14896000</v>
      </c>
      <c r="L49" s="273">
        <v>30000000</v>
      </c>
      <c r="M49" s="273">
        <f>20000000</f>
        <v>20000000</v>
      </c>
      <c r="N49" s="273">
        <v>25000000</v>
      </c>
      <c r="O49" s="273">
        <v>25000000</v>
      </c>
      <c r="P49" s="273">
        <v>25000000</v>
      </c>
      <c r="Q49" s="273">
        <v>25000000</v>
      </c>
      <c r="R49" s="273">
        <v>25000000</v>
      </c>
      <c r="S49" s="247">
        <v>25000000</v>
      </c>
      <c r="T49" s="273">
        <f t="shared" si="0"/>
        <v>0</v>
      </c>
    </row>
    <row r="50" spans="1:20" s="572" customFormat="1" ht="19.5" customHeight="1">
      <c r="A50" s="574">
        <v>22205</v>
      </c>
      <c r="B50" s="273" t="s">
        <v>306</v>
      </c>
      <c r="C50" s="273">
        <v>36000000</v>
      </c>
      <c r="D50" s="273">
        <f>93221000+18000+300000</f>
        <v>93539000</v>
      </c>
      <c r="E50" s="273">
        <v>82800000</v>
      </c>
      <c r="F50" s="273">
        <v>297500000</v>
      </c>
      <c r="G50" s="273">
        <v>0</v>
      </c>
      <c r="H50" s="273">
        <v>281600000</v>
      </c>
      <c r="I50" s="273">
        <v>0</v>
      </c>
      <c r="J50" s="273">
        <v>200000000</v>
      </c>
      <c r="K50" s="273"/>
      <c r="L50" s="273">
        <v>1029600000</v>
      </c>
      <c r="M50" s="273">
        <v>900000000</v>
      </c>
      <c r="N50" s="273">
        <f>M50</f>
        <v>900000000</v>
      </c>
      <c r="O50" s="273">
        <v>0</v>
      </c>
      <c r="P50" s="273">
        <v>0</v>
      </c>
      <c r="Q50" s="273">
        <v>0</v>
      </c>
      <c r="R50" s="273">
        <v>0</v>
      </c>
      <c r="S50" s="247">
        <v>0</v>
      </c>
      <c r="T50" s="273">
        <f t="shared" si="0"/>
        <v>0</v>
      </c>
    </row>
    <row r="51" spans="1:20" s="572" customFormat="1" ht="19.5" customHeight="1">
      <c r="A51" s="574">
        <v>22207</v>
      </c>
      <c r="B51" s="273" t="s">
        <v>505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>
        <v>0</v>
      </c>
      <c r="N51" s="273">
        <v>972000000</v>
      </c>
      <c r="O51" s="273">
        <v>0</v>
      </c>
      <c r="P51" s="273">
        <v>0</v>
      </c>
      <c r="Q51" s="273">
        <v>0</v>
      </c>
      <c r="R51" s="273">
        <v>0</v>
      </c>
      <c r="S51" s="247">
        <v>0</v>
      </c>
      <c r="T51" s="273">
        <f t="shared" si="0"/>
        <v>0</v>
      </c>
    </row>
    <row r="52" spans="1:20" s="572" customFormat="1" ht="19.5" customHeight="1">
      <c r="A52" s="574">
        <v>22211</v>
      </c>
      <c r="B52" s="273" t="s">
        <v>307</v>
      </c>
      <c r="C52" s="273">
        <v>20624396</v>
      </c>
      <c r="D52" s="273">
        <v>24651000</v>
      </c>
      <c r="E52" s="273">
        <v>24651000</v>
      </c>
      <c r="F52" s="273">
        <f>24651000+1711500</f>
        <v>26362500</v>
      </c>
      <c r="G52" s="273">
        <v>21089600</v>
      </c>
      <c r="H52" s="273">
        <v>26362000</v>
      </c>
      <c r="I52" s="273">
        <v>19364418</v>
      </c>
      <c r="J52" s="273">
        <v>19364418</v>
      </c>
      <c r="K52" s="273">
        <v>189000000</v>
      </c>
      <c r="L52" s="273">
        <v>410400000</v>
      </c>
      <c r="M52" s="273">
        <f>570000000</f>
        <v>570000000</v>
      </c>
      <c r="N52" s="273">
        <v>900000000</v>
      </c>
      <c r="O52" s="273">
        <v>0</v>
      </c>
      <c r="P52" s="273">
        <v>0</v>
      </c>
      <c r="Q52" s="273">
        <v>0</v>
      </c>
      <c r="R52" s="273">
        <v>0</v>
      </c>
      <c r="S52" s="247">
        <v>0</v>
      </c>
      <c r="T52" s="273">
        <f t="shared" si="0"/>
        <v>0</v>
      </c>
    </row>
    <row r="53" spans="1:20" s="572" customFormat="1" ht="19.5" customHeight="1">
      <c r="A53" s="574">
        <v>22213</v>
      </c>
      <c r="B53" s="273" t="s">
        <v>506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>
        <v>0</v>
      </c>
      <c r="N53" s="273">
        <v>276000000</v>
      </c>
      <c r="O53" s="273">
        <v>0</v>
      </c>
      <c r="P53" s="273">
        <v>0</v>
      </c>
      <c r="Q53" s="273">
        <v>0</v>
      </c>
      <c r="R53" s="273">
        <v>0</v>
      </c>
      <c r="S53" s="247">
        <v>0</v>
      </c>
      <c r="T53" s="273">
        <f t="shared" si="0"/>
        <v>0</v>
      </c>
    </row>
    <row r="54" spans="1:20" s="572" customFormat="1" ht="19.5" customHeight="1">
      <c r="A54" s="574"/>
      <c r="B54" s="298" t="s">
        <v>92</v>
      </c>
      <c r="C54" s="298">
        <f t="shared" ref="C54:J54" si="2">SUM(C48:C52)</f>
        <v>129344396</v>
      </c>
      <c r="D54" s="298">
        <f t="shared" si="2"/>
        <v>255951000</v>
      </c>
      <c r="E54" s="298">
        <f t="shared" si="2"/>
        <v>107451000</v>
      </c>
      <c r="F54" s="298">
        <f t="shared" si="2"/>
        <v>487861300</v>
      </c>
      <c r="G54" s="298">
        <f t="shared" si="2"/>
        <v>121089600</v>
      </c>
      <c r="H54" s="298">
        <f t="shared" si="2"/>
        <v>447962000</v>
      </c>
      <c r="I54" s="298">
        <f t="shared" si="2"/>
        <v>99364418</v>
      </c>
      <c r="J54" s="298">
        <f t="shared" si="2"/>
        <v>299364418</v>
      </c>
      <c r="K54" s="273">
        <v>26205043</v>
      </c>
      <c r="L54" s="298">
        <f>SUM(L46:L52)</f>
        <v>3474896000</v>
      </c>
      <c r="M54" s="298">
        <f>SUM(M46:M52)</f>
        <v>3484896000</v>
      </c>
      <c r="N54" s="298">
        <f t="shared" ref="N54:S54" si="3">SUM(N46:N53)</f>
        <v>5113000000</v>
      </c>
      <c r="O54" s="298">
        <f t="shared" si="3"/>
        <v>2645000000</v>
      </c>
      <c r="P54" s="298">
        <f t="shared" si="3"/>
        <v>3285000000</v>
      </c>
      <c r="Q54" s="298">
        <f t="shared" si="3"/>
        <v>3285000000</v>
      </c>
      <c r="R54" s="298">
        <f t="shared" si="3"/>
        <v>3945000000</v>
      </c>
      <c r="S54" s="256">
        <f t="shared" si="3"/>
        <v>4075573780</v>
      </c>
      <c r="T54" s="298">
        <f t="shared" si="0"/>
        <v>130573780</v>
      </c>
    </row>
    <row r="55" spans="1:20" s="572" customFormat="1" ht="19.5" customHeight="1">
      <c r="A55" s="573">
        <v>2230</v>
      </c>
      <c r="B55" s="298" t="s">
        <v>130</v>
      </c>
      <c r="C55" s="273"/>
      <c r="D55" s="273"/>
      <c r="E55" s="273" t="s">
        <v>4</v>
      </c>
      <c r="F55" s="273">
        <v>0</v>
      </c>
      <c r="G55" s="273">
        <v>0</v>
      </c>
      <c r="H55" s="273">
        <v>0</v>
      </c>
      <c r="I55" s="273">
        <v>0</v>
      </c>
      <c r="J55" s="273"/>
      <c r="K55" s="273">
        <v>1000000000</v>
      </c>
      <c r="L55" s="273"/>
      <c r="M55" s="273"/>
      <c r="N55" s="273"/>
      <c r="O55" s="273"/>
      <c r="P55" s="273"/>
      <c r="Q55" s="273"/>
      <c r="R55" s="273"/>
      <c r="S55" s="247"/>
      <c r="T55" s="273">
        <f t="shared" si="0"/>
        <v>0</v>
      </c>
    </row>
    <row r="56" spans="1:20" s="572" customFormat="1" ht="19.5" customHeight="1">
      <c r="A56" s="574">
        <v>22301</v>
      </c>
      <c r="B56" s="273" t="s">
        <v>49</v>
      </c>
      <c r="C56" s="273"/>
      <c r="D56" s="273"/>
      <c r="E56" s="273"/>
      <c r="F56" s="273"/>
      <c r="G56" s="273"/>
      <c r="H56" s="273"/>
      <c r="I56" s="273"/>
      <c r="J56" s="273"/>
      <c r="K56" s="273">
        <v>350000000</v>
      </c>
      <c r="L56" s="273">
        <v>350000000</v>
      </c>
      <c r="M56" s="273">
        <f>200000000</f>
        <v>200000000</v>
      </c>
      <c r="N56" s="273">
        <v>200000000</v>
      </c>
      <c r="O56" s="273">
        <v>500000000</v>
      </c>
      <c r="P56" s="273">
        <v>500000000</v>
      </c>
      <c r="Q56" s="273">
        <v>500000000</v>
      </c>
      <c r="R56" s="273">
        <v>700000000</v>
      </c>
      <c r="S56" s="247">
        <v>900000000</v>
      </c>
      <c r="T56" s="273">
        <f t="shared" si="0"/>
        <v>200000000</v>
      </c>
    </row>
    <row r="57" spans="1:20" s="572" customFormat="1" ht="19.5" customHeight="1">
      <c r="A57" s="574">
        <v>22302</v>
      </c>
      <c r="B57" s="273" t="s">
        <v>249</v>
      </c>
      <c r="C57" s="273"/>
      <c r="D57" s="273"/>
      <c r="E57" s="273"/>
      <c r="F57" s="273"/>
      <c r="G57" s="273"/>
      <c r="H57" s="273"/>
      <c r="I57" s="273"/>
      <c r="J57" s="273"/>
      <c r="K57" s="273">
        <v>0</v>
      </c>
      <c r="L57" s="273">
        <v>50000000</v>
      </c>
      <c r="M57" s="273">
        <v>0</v>
      </c>
      <c r="N57" s="273">
        <v>0</v>
      </c>
      <c r="O57" s="273">
        <v>0</v>
      </c>
      <c r="P57" s="273">
        <v>0</v>
      </c>
      <c r="Q57" s="273">
        <v>0</v>
      </c>
      <c r="R57" s="273">
        <v>0</v>
      </c>
      <c r="S57" s="247">
        <v>0</v>
      </c>
      <c r="T57" s="273">
        <f t="shared" si="0"/>
        <v>0</v>
      </c>
    </row>
    <row r="58" spans="1:20" s="572" customFormat="1" ht="19.5" customHeight="1">
      <c r="A58" s="574">
        <v>22313</v>
      </c>
      <c r="B58" s="273" t="s">
        <v>251</v>
      </c>
      <c r="C58" s="273">
        <v>68773000</v>
      </c>
      <c r="D58" s="273">
        <v>134918000</v>
      </c>
      <c r="E58" s="273">
        <v>134918000</v>
      </c>
      <c r="F58" s="273">
        <f>195100000+5200000</f>
        <v>200300000</v>
      </c>
      <c r="G58" s="273">
        <v>160240000</v>
      </c>
      <c r="H58" s="273">
        <v>200300000</v>
      </c>
      <c r="I58" s="273">
        <v>200300000</v>
      </c>
      <c r="J58" s="273">
        <v>360280000</v>
      </c>
      <c r="K58" s="298">
        <f>SUM(K49:K57)</f>
        <v>1580101043</v>
      </c>
      <c r="L58" s="273">
        <v>10300000</v>
      </c>
      <c r="M58" s="273">
        <v>0</v>
      </c>
      <c r="N58" s="273">
        <v>0</v>
      </c>
      <c r="O58" s="273">
        <v>0</v>
      </c>
      <c r="P58" s="273">
        <v>0</v>
      </c>
      <c r="Q58" s="273">
        <v>0</v>
      </c>
      <c r="R58" s="273">
        <v>0</v>
      </c>
      <c r="S58" s="247">
        <v>0</v>
      </c>
      <c r="T58" s="273">
        <f t="shared" si="0"/>
        <v>0</v>
      </c>
    </row>
    <row r="59" spans="1:20" s="572" customFormat="1" ht="19.5" customHeight="1">
      <c r="A59" s="574"/>
      <c r="B59" s="298" t="s">
        <v>92</v>
      </c>
      <c r="C59" s="273"/>
      <c r="D59" s="273"/>
      <c r="E59" s="273"/>
      <c r="F59" s="273"/>
      <c r="G59" s="273"/>
      <c r="H59" s="273"/>
      <c r="I59" s="273"/>
      <c r="J59" s="273"/>
      <c r="K59" s="298"/>
      <c r="L59" s="298">
        <f t="shared" ref="L59:P59" si="4">SUM(L56:L58)</f>
        <v>410300000</v>
      </c>
      <c r="M59" s="298">
        <f t="shared" si="4"/>
        <v>200000000</v>
      </c>
      <c r="N59" s="298">
        <f t="shared" si="4"/>
        <v>200000000</v>
      </c>
      <c r="O59" s="298">
        <f t="shared" si="4"/>
        <v>500000000</v>
      </c>
      <c r="P59" s="298">
        <f t="shared" si="4"/>
        <v>500000000</v>
      </c>
      <c r="Q59" s="298">
        <f>SUM(Q56:Q58)</f>
        <v>500000000</v>
      </c>
      <c r="R59" s="298">
        <f>SUM(R56:R58)</f>
        <v>700000000</v>
      </c>
      <c r="S59" s="256">
        <f>SUM(S56:S58)</f>
        <v>900000000</v>
      </c>
      <c r="T59" s="298">
        <f t="shared" si="0"/>
        <v>200000000</v>
      </c>
    </row>
    <row r="60" spans="1:20" s="572" customFormat="1" ht="19.5" customHeight="1">
      <c r="A60" s="573">
        <v>270</v>
      </c>
      <c r="B60" s="298" t="s">
        <v>253</v>
      </c>
      <c r="C60" s="273"/>
      <c r="D60" s="273"/>
      <c r="E60" s="273"/>
      <c r="F60" s="273"/>
      <c r="G60" s="273"/>
      <c r="H60" s="273"/>
      <c r="I60" s="273"/>
      <c r="J60" s="273"/>
      <c r="K60" s="298"/>
      <c r="L60" s="298"/>
      <c r="M60" s="298"/>
      <c r="N60" s="298"/>
      <c r="O60" s="298"/>
      <c r="P60" s="298"/>
      <c r="Q60" s="298"/>
      <c r="R60" s="298"/>
      <c r="S60" s="256"/>
      <c r="T60" s="273">
        <f t="shared" si="0"/>
        <v>0</v>
      </c>
    </row>
    <row r="61" spans="1:20" s="572" customFormat="1" ht="19.5" customHeight="1">
      <c r="A61" s="573">
        <v>2710</v>
      </c>
      <c r="B61" s="298" t="s">
        <v>252</v>
      </c>
      <c r="C61" s="273"/>
      <c r="D61" s="273"/>
      <c r="E61" s="273"/>
      <c r="F61" s="273"/>
      <c r="G61" s="273"/>
      <c r="H61" s="273"/>
      <c r="I61" s="273"/>
      <c r="J61" s="273"/>
      <c r="K61" s="273">
        <v>80000000</v>
      </c>
      <c r="L61" s="273"/>
      <c r="M61" s="273"/>
      <c r="N61" s="273"/>
      <c r="O61" s="273"/>
      <c r="P61" s="273"/>
      <c r="Q61" s="273"/>
      <c r="R61" s="273"/>
      <c r="S61" s="247"/>
      <c r="T61" s="273">
        <f t="shared" si="0"/>
        <v>0</v>
      </c>
    </row>
    <row r="62" spans="1:20" s="572" customFormat="1" ht="19.5" customHeight="1">
      <c r="A62" s="574">
        <v>27601</v>
      </c>
      <c r="B62" s="273" t="s">
        <v>264</v>
      </c>
      <c r="C62" s="273"/>
      <c r="D62" s="273"/>
      <c r="E62" s="273"/>
      <c r="F62" s="273"/>
      <c r="G62" s="273"/>
      <c r="H62" s="273"/>
      <c r="I62" s="273"/>
      <c r="J62" s="273"/>
      <c r="K62" s="273">
        <v>0</v>
      </c>
      <c r="L62" s="273">
        <v>180000000</v>
      </c>
      <c r="M62" s="273">
        <f>300000000</f>
        <v>300000000</v>
      </c>
      <c r="N62" s="273">
        <f t="shared" ref="N62:R62" si="5">M62</f>
        <v>300000000</v>
      </c>
      <c r="O62" s="273">
        <f t="shared" si="5"/>
        <v>300000000</v>
      </c>
      <c r="P62" s="273">
        <f t="shared" si="5"/>
        <v>300000000</v>
      </c>
      <c r="Q62" s="273">
        <f t="shared" si="5"/>
        <v>300000000</v>
      </c>
      <c r="R62" s="273">
        <f t="shared" si="5"/>
        <v>300000000</v>
      </c>
      <c r="S62" s="247">
        <v>350000000</v>
      </c>
      <c r="T62" s="273">
        <f t="shared" si="0"/>
        <v>50000000</v>
      </c>
    </row>
    <row r="63" spans="1:20" s="572" customFormat="1" ht="19.5" customHeight="1">
      <c r="A63" s="574">
        <v>27402</v>
      </c>
      <c r="B63" s="273" t="s">
        <v>379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73">
        <v>0</v>
      </c>
      <c r="M63" s="273">
        <f>900000000</f>
        <v>900000000</v>
      </c>
      <c r="N63" s="273">
        <v>660000000</v>
      </c>
      <c r="O63" s="273">
        <v>2540000000</v>
      </c>
      <c r="P63" s="273">
        <v>0</v>
      </c>
      <c r="Q63" s="273">
        <v>0</v>
      </c>
      <c r="R63" s="273">
        <v>0</v>
      </c>
      <c r="S63" s="247">
        <v>0</v>
      </c>
      <c r="T63" s="273">
        <f t="shared" si="0"/>
        <v>0</v>
      </c>
    </row>
    <row r="64" spans="1:20" s="572" customFormat="1" ht="19.5" customHeight="1">
      <c r="A64" s="574">
        <v>27502</v>
      </c>
      <c r="B64" s="273" t="s">
        <v>148</v>
      </c>
      <c r="C64" s="273"/>
      <c r="D64" s="273"/>
      <c r="E64" s="273"/>
      <c r="F64" s="273"/>
      <c r="G64" s="273"/>
      <c r="H64" s="273"/>
      <c r="I64" s="273"/>
      <c r="J64" s="273"/>
      <c r="K64" s="273">
        <v>0</v>
      </c>
      <c r="L64" s="273">
        <v>20000000</v>
      </c>
      <c r="M64" s="273">
        <f>25000000</f>
        <v>25000000</v>
      </c>
      <c r="N64" s="273">
        <f>M64</f>
        <v>25000000</v>
      </c>
      <c r="O64" s="273">
        <v>60000000</v>
      </c>
      <c r="P64" s="273">
        <v>60000000</v>
      </c>
      <c r="Q64" s="273">
        <v>60000000</v>
      </c>
      <c r="R64" s="273">
        <v>100000000</v>
      </c>
      <c r="S64" s="247">
        <v>100000000</v>
      </c>
      <c r="T64" s="273">
        <f t="shared" si="0"/>
        <v>0</v>
      </c>
    </row>
    <row r="65" spans="1:20" s="572" customFormat="1" ht="19.5" customHeight="1">
      <c r="A65" s="574">
        <v>27604</v>
      </c>
      <c r="B65" s="273" t="s">
        <v>149</v>
      </c>
      <c r="C65" s="273"/>
      <c r="D65" s="273"/>
      <c r="E65" s="273"/>
      <c r="F65" s="273"/>
      <c r="G65" s="273"/>
      <c r="H65" s="273"/>
      <c r="I65" s="273"/>
      <c r="J65" s="273"/>
      <c r="K65" s="273">
        <v>0</v>
      </c>
      <c r="L65" s="273">
        <v>20000000</v>
      </c>
      <c r="M65" s="273">
        <f>20000000</f>
        <v>20000000</v>
      </c>
      <c r="N65" s="273">
        <f>M65</f>
        <v>20000000</v>
      </c>
      <c r="O65" s="273">
        <f t="shared" ref="O65:S65" si="6">N65</f>
        <v>20000000</v>
      </c>
      <c r="P65" s="273">
        <f t="shared" si="6"/>
        <v>20000000</v>
      </c>
      <c r="Q65" s="273">
        <f t="shared" si="6"/>
        <v>20000000</v>
      </c>
      <c r="R65" s="273">
        <f t="shared" si="6"/>
        <v>20000000</v>
      </c>
      <c r="S65" s="247">
        <f t="shared" si="6"/>
        <v>20000000</v>
      </c>
      <c r="T65" s="273">
        <f t="shared" si="0"/>
        <v>0</v>
      </c>
    </row>
    <row r="66" spans="1:20" s="572" customFormat="1" ht="19.5" customHeight="1">
      <c r="A66" s="574"/>
      <c r="B66" s="298" t="s">
        <v>92</v>
      </c>
      <c r="C66" s="273"/>
      <c r="D66" s="273"/>
      <c r="E66" s="273"/>
      <c r="F66" s="273"/>
      <c r="G66" s="273"/>
      <c r="H66" s="273"/>
      <c r="I66" s="273"/>
      <c r="J66" s="273"/>
      <c r="K66" s="273"/>
      <c r="L66" s="298">
        <f t="shared" ref="L66:S66" si="7">SUM(L62:L65)</f>
        <v>220000000</v>
      </c>
      <c r="M66" s="298">
        <f t="shared" si="7"/>
        <v>1245000000</v>
      </c>
      <c r="N66" s="298">
        <f t="shared" si="7"/>
        <v>1005000000</v>
      </c>
      <c r="O66" s="298">
        <f t="shared" si="7"/>
        <v>2920000000</v>
      </c>
      <c r="P66" s="298">
        <f t="shared" si="7"/>
        <v>380000000</v>
      </c>
      <c r="Q66" s="298">
        <f t="shared" si="7"/>
        <v>380000000</v>
      </c>
      <c r="R66" s="298">
        <f t="shared" si="7"/>
        <v>420000000</v>
      </c>
      <c r="S66" s="256">
        <f t="shared" si="7"/>
        <v>470000000</v>
      </c>
      <c r="T66" s="298">
        <f t="shared" si="0"/>
        <v>50000000</v>
      </c>
    </row>
    <row r="67" spans="1:20" s="572" customFormat="1" ht="19.5" customHeight="1">
      <c r="A67" s="573">
        <v>2810</v>
      </c>
      <c r="B67" s="298" t="s">
        <v>1242</v>
      </c>
      <c r="C67" s="273"/>
      <c r="D67" s="273"/>
      <c r="E67" s="273"/>
      <c r="F67" s="273"/>
      <c r="G67" s="273"/>
      <c r="H67" s="273"/>
      <c r="I67" s="273"/>
      <c r="J67" s="298"/>
      <c r="K67" s="298"/>
      <c r="L67" s="298"/>
      <c r="M67" s="298"/>
      <c r="N67" s="298">
        <v>40836096697</v>
      </c>
      <c r="O67" s="298">
        <v>0</v>
      </c>
      <c r="P67" s="298">
        <v>0</v>
      </c>
      <c r="Q67" s="298">
        <v>0</v>
      </c>
      <c r="R67" s="298">
        <v>0</v>
      </c>
      <c r="S67" s="256">
        <v>0</v>
      </c>
      <c r="T67" s="273">
        <f t="shared" ref="T67:T73" si="8">S67-R67</f>
        <v>0</v>
      </c>
    </row>
    <row r="68" spans="1:20" s="572" customFormat="1" ht="19.5" customHeight="1">
      <c r="A68" s="574">
        <v>28102</v>
      </c>
      <c r="B68" s="273" t="s">
        <v>431</v>
      </c>
      <c r="C68" s="273"/>
      <c r="D68" s="273"/>
      <c r="E68" s="273"/>
      <c r="F68" s="273"/>
      <c r="G68" s="273"/>
      <c r="H68" s="273"/>
      <c r="I68" s="273"/>
      <c r="J68" s="298"/>
      <c r="K68" s="298"/>
      <c r="L68" s="298"/>
      <c r="M68" s="298"/>
      <c r="N68" s="298"/>
      <c r="O68" s="298"/>
      <c r="P68" s="298"/>
      <c r="Q68" s="273">
        <v>600000000</v>
      </c>
      <c r="R68" s="273">
        <v>600000000</v>
      </c>
      <c r="S68" s="247">
        <v>400000000</v>
      </c>
      <c r="T68" s="273">
        <f t="shared" si="8"/>
        <v>-200000000</v>
      </c>
    </row>
    <row r="69" spans="1:20" s="572" customFormat="1" ht="19.5" customHeight="1">
      <c r="A69" s="573"/>
      <c r="B69" s="298" t="s">
        <v>92</v>
      </c>
      <c r="C69" s="273"/>
      <c r="D69" s="273"/>
      <c r="E69" s="273"/>
      <c r="F69" s="273"/>
      <c r="G69" s="273"/>
      <c r="H69" s="273"/>
      <c r="I69" s="273"/>
      <c r="J69" s="298"/>
      <c r="K69" s="298"/>
      <c r="L69" s="298"/>
      <c r="M69" s="298"/>
      <c r="N69" s="298"/>
      <c r="O69" s="298"/>
      <c r="P69" s="298"/>
      <c r="Q69" s="298">
        <f>SUM(Q68)</f>
        <v>600000000</v>
      </c>
      <c r="R69" s="298">
        <f>SUM(R68)</f>
        <v>600000000</v>
      </c>
      <c r="S69" s="256">
        <f>SUM(S68)</f>
        <v>400000000</v>
      </c>
      <c r="T69" s="298">
        <f t="shared" si="8"/>
        <v>-200000000</v>
      </c>
    </row>
    <row r="70" spans="1:20" s="572" customFormat="1" ht="19.5" customHeight="1">
      <c r="A70" s="573">
        <v>29320</v>
      </c>
      <c r="B70" s="298" t="s">
        <v>1488</v>
      </c>
      <c r="C70" s="273"/>
      <c r="D70" s="273"/>
      <c r="E70" s="273"/>
      <c r="F70" s="273"/>
      <c r="G70" s="273"/>
      <c r="H70" s="273"/>
      <c r="I70" s="273"/>
      <c r="J70" s="298"/>
      <c r="K70" s="298"/>
      <c r="L70" s="298"/>
      <c r="M70" s="298"/>
      <c r="N70" s="298"/>
      <c r="O70" s="298"/>
      <c r="P70" s="298"/>
      <c r="Q70" s="298"/>
      <c r="R70" s="298"/>
      <c r="S70" s="256"/>
      <c r="T70" s="298"/>
    </row>
    <row r="71" spans="1:20" s="572" customFormat="1" ht="19.5" customHeight="1">
      <c r="A71" s="573">
        <v>29323</v>
      </c>
      <c r="B71" s="273" t="s">
        <v>1501</v>
      </c>
      <c r="C71" s="273"/>
      <c r="D71" s="273"/>
      <c r="E71" s="273"/>
      <c r="F71" s="273"/>
      <c r="G71" s="273"/>
      <c r="H71" s="273"/>
      <c r="I71" s="273"/>
      <c r="J71" s="298"/>
      <c r="K71" s="298"/>
      <c r="L71" s="298"/>
      <c r="M71" s="298"/>
      <c r="N71" s="298"/>
      <c r="O71" s="298"/>
      <c r="P71" s="298"/>
      <c r="Q71" s="298"/>
      <c r="R71" s="298">
        <v>0</v>
      </c>
      <c r="S71" s="247">
        <v>17490000000</v>
      </c>
      <c r="T71" s="298"/>
    </row>
    <row r="72" spans="1:20" s="572" customFormat="1" ht="19.5" customHeight="1">
      <c r="A72" s="573"/>
      <c r="B72" s="298" t="s">
        <v>92</v>
      </c>
      <c r="C72" s="273"/>
      <c r="D72" s="273"/>
      <c r="E72" s="273"/>
      <c r="F72" s="273"/>
      <c r="G72" s="273"/>
      <c r="H72" s="273"/>
      <c r="I72" s="273"/>
      <c r="J72" s="298"/>
      <c r="K72" s="298"/>
      <c r="L72" s="298"/>
      <c r="M72" s="298"/>
      <c r="N72" s="298"/>
      <c r="O72" s="298"/>
      <c r="P72" s="298"/>
      <c r="Q72" s="298"/>
      <c r="R72" s="298"/>
      <c r="S72" s="256">
        <f>SUM(S71)</f>
        <v>17490000000</v>
      </c>
      <c r="T72" s="298"/>
    </row>
    <row r="73" spans="1:20" s="572" customFormat="1" ht="19.5" customHeight="1">
      <c r="A73" s="577"/>
      <c r="B73" s="381" t="s">
        <v>95</v>
      </c>
      <c r="C73" s="381"/>
      <c r="D73" s="381"/>
      <c r="E73" s="381"/>
      <c r="F73" s="298">
        <v>6556984977</v>
      </c>
      <c r="G73" s="298"/>
      <c r="H73" s="298"/>
      <c r="I73" s="298"/>
      <c r="J73" s="298"/>
      <c r="K73" s="298"/>
      <c r="L73" s="298" t="e">
        <f>#REF!+#REF!+L66+L59+L54+L44+L13</f>
        <v>#REF!</v>
      </c>
      <c r="M73" s="298" t="e">
        <f>#REF!+#REF!+M66+M59+M54+M44+M13</f>
        <v>#REF!</v>
      </c>
      <c r="N73" s="298" t="e">
        <f>#REF!+#REF!+N66+N59+N54+N44+N13+N67</f>
        <v>#REF!</v>
      </c>
      <c r="O73" s="298" t="e">
        <f>#REF!+#REF!+O66+O59+O54+O44+O13+O67</f>
        <v>#REF!</v>
      </c>
      <c r="P73" s="298" t="e">
        <f>#REF!+#REF!+P66+P59+P54+P44+P13+P67</f>
        <v>#REF!</v>
      </c>
      <c r="Q73" s="298" t="e">
        <f>#REF!+#REF!+Q66+Q59+Q54+Q44+Q13+Q67+Q9+Q69</f>
        <v>#REF!</v>
      </c>
      <c r="R73" s="298">
        <f>R69+R59+R54+R44+R9+R66+R13</f>
        <v>67599257120</v>
      </c>
      <c r="S73" s="256">
        <f>S72+S69+S66+S59+S54+S44+S9+S13</f>
        <v>92321166020</v>
      </c>
      <c r="T73" s="298">
        <f t="shared" si="8"/>
        <v>24721908900</v>
      </c>
    </row>
    <row r="75" spans="1:20" ht="19.5" customHeight="1">
      <c r="L75" s="580"/>
    </row>
  </sheetData>
  <pageMargins left="0.42" right="0.34" top="0.59" bottom="0.43" header="0.17" footer="0.17"/>
  <pageSetup scale="50" orientation="portrait" r:id="rId1"/>
  <headerFooter>
    <oddHeader>&amp;C&amp;"Algerian,Bold"&amp;36WASAARAdDA MAALIYADdA</oddHeader>
    <oddFooter>&amp;R&amp;"Times New Roman,Bold"&amp;14 31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84"/>
  <sheetViews>
    <sheetView view="pageBreakPreview" zoomScale="55" zoomScaleSheetLayoutView="55" workbookViewId="0">
      <selection activeCell="X39" sqref="X39"/>
    </sheetView>
  </sheetViews>
  <sheetFormatPr defaultRowHeight="18.95" customHeight="1"/>
  <cols>
    <col min="1" max="1" width="24.83203125" style="826" bestFit="1" customWidth="1"/>
    <col min="2" max="2" width="108.1640625" style="732" customWidth="1"/>
    <col min="3" max="10" width="9.33203125" style="732" hidden="1" customWidth="1"/>
    <col min="11" max="11" width="0.1640625" style="732" hidden="1" customWidth="1"/>
    <col min="12" max="12" width="9.33203125" style="732" hidden="1" customWidth="1"/>
    <col min="13" max="13" width="0.1640625" style="732" hidden="1" customWidth="1"/>
    <col min="14" max="15" width="9.33203125" style="732" hidden="1" customWidth="1"/>
    <col min="16" max="16" width="37.83203125" style="732" hidden="1" customWidth="1"/>
    <col min="17" max="17" width="39.33203125" style="732" hidden="1" customWidth="1"/>
    <col min="18" max="18" width="39" style="732" hidden="1" customWidth="1"/>
    <col min="19" max="19" width="0.1640625" style="732" customWidth="1"/>
    <col min="20" max="22" width="39" style="732" customWidth="1"/>
    <col min="23" max="23" width="9.33203125" style="732"/>
    <col min="24" max="24" width="39.5" style="732" bestFit="1" customWidth="1"/>
    <col min="25" max="25" width="42.33203125" style="732" bestFit="1" customWidth="1"/>
    <col min="26" max="26" width="9.33203125" style="732"/>
    <col min="27" max="27" width="42.33203125" style="732" bestFit="1" customWidth="1"/>
    <col min="28" max="16384" width="9.33203125" style="732"/>
  </cols>
  <sheetData>
    <row r="1" spans="1:22" ht="18.95" customHeight="1">
      <c r="A1" s="812" t="s">
        <v>40</v>
      </c>
      <c r="B1" s="376" t="s">
        <v>1005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 t="s">
        <v>442</v>
      </c>
      <c r="Q1" s="376" t="s">
        <v>814</v>
      </c>
      <c r="R1" s="376" t="s">
        <v>874</v>
      </c>
      <c r="S1" s="376" t="s">
        <v>973</v>
      </c>
      <c r="T1" s="376" t="s">
        <v>1160</v>
      </c>
      <c r="U1" s="376" t="s">
        <v>1320</v>
      </c>
      <c r="V1" s="376" t="s">
        <v>56</v>
      </c>
    </row>
    <row r="2" spans="1:22" ht="18.95" customHeight="1">
      <c r="A2" s="812" t="s">
        <v>25</v>
      </c>
      <c r="B2" s="376" t="s">
        <v>26</v>
      </c>
      <c r="C2" s="376" t="s">
        <v>38</v>
      </c>
      <c r="D2" s="376" t="s">
        <v>2</v>
      </c>
      <c r="E2" s="376" t="s">
        <v>43</v>
      </c>
      <c r="F2" s="376" t="s">
        <v>46</v>
      </c>
      <c r="G2" s="376" t="s">
        <v>55</v>
      </c>
      <c r="H2" s="376" t="s">
        <v>62</v>
      </c>
      <c r="I2" s="376" t="s">
        <v>103</v>
      </c>
      <c r="J2" s="376" t="s">
        <v>107</v>
      </c>
      <c r="K2" s="376" t="s">
        <v>115</v>
      </c>
      <c r="L2" s="376" t="s">
        <v>138</v>
      </c>
      <c r="M2" s="376" t="s">
        <v>257</v>
      </c>
      <c r="N2" s="376" t="s">
        <v>440</v>
      </c>
      <c r="O2" s="376"/>
      <c r="P2" s="376"/>
      <c r="Q2" s="376"/>
      <c r="R2" s="376"/>
      <c r="S2" s="376"/>
      <c r="T2" s="376"/>
      <c r="U2" s="376"/>
      <c r="V2" s="376"/>
    </row>
    <row r="3" spans="1:22" ht="18.95" customHeight="1">
      <c r="A3" s="813">
        <v>2110</v>
      </c>
      <c r="B3" s="376" t="s">
        <v>213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814"/>
      <c r="R3" s="376"/>
      <c r="S3" s="376"/>
      <c r="T3" s="376"/>
      <c r="U3" s="376"/>
      <c r="V3" s="376"/>
    </row>
    <row r="4" spans="1:22" ht="18.95" customHeight="1">
      <c r="A4" s="815">
        <v>21106</v>
      </c>
      <c r="B4" s="814" t="s">
        <v>878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>
        <v>0</v>
      </c>
      <c r="R4" s="814">
        <v>1494008160</v>
      </c>
      <c r="S4" s="814">
        <v>1876008160</v>
      </c>
      <c r="T4" s="816">
        <v>1117506000</v>
      </c>
      <c r="U4" s="816">
        <v>1181506000</v>
      </c>
      <c r="V4" s="814">
        <f t="shared" ref="V4:V67" si="0">U4-T4</f>
        <v>64000000</v>
      </c>
    </row>
    <row r="5" spans="1:22" ht="18.95" customHeight="1">
      <c r="A5" s="815"/>
      <c r="B5" s="368" t="s">
        <v>92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368">
        <f>SUM(R4:R4)</f>
        <v>1494008160</v>
      </c>
      <c r="S5" s="368">
        <f>SUM(S4:S4)</f>
        <v>1876008160</v>
      </c>
      <c r="T5" s="368">
        <f>SUM(T4:T4)</f>
        <v>1117506000</v>
      </c>
      <c r="U5" s="368">
        <f>SUM(U4:U4)</f>
        <v>1181506000</v>
      </c>
      <c r="V5" s="814">
        <f t="shared" si="0"/>
        <v>64000000</v>
      </c>
    </row>
    <row r="6" spans="1:22" ht="18.95" customHeight="1">
      <c r="A6" s="815">
        <v>2120</v>
      </c>
      <c r="B6" s="368" t="s">
        <v>1241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368"/>
      <c r="S6" s="368"/>
      <c r="T6" s="368"/>
      <c r="U6" s="368"/>
      <c r="V6" s="814">
        <f t="shared" si="0"/>
        <v>0</v>
      </c>
    </row>
    <row r="7" spans="1:22" ht="18.95" customHeight="1">
      <c r="A7" s="815">
        <v>21201</v>
      </c>
      <c r="B7" s="814" t="s">
        <v>1493</v>
      </c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368"/>
      <c r="S7" s="368"/>
      <c r="T7" s="368">
        <v>0</v>
      </c>
      <c r="U7" s="814">
        <v>12000000000</v>
      </c>
      <c r="V7" s="814"/>
    </row>
    <row r="8" spans="1:22" ht="18.95" customHeight="1">
      <c r="A8" s="817">
        <v>21204</v>
      </c>
      <c r="B8" s="814" t="s">
        <v>838</v>
      </c>
      <c r="C8" s="814"/>
      <c r="D8" s="814"/>
      <c r="E8" s="814"/>
      <c r="F8" s="814"/>
      <c r="G8" s="814"/>
      <c r="H8" s="814"/>
      <c r="I8" s="814"/>
      <c r="J8" s="814"/>
      <c r="K8" s="814"/>
      <c r="L8" s="814">
        <v>60000000</v>
      </c>
      <c r="M8" s="814">
        <f>160000000+100000000</f>
        <v>260000000</v>
      </c>
      <c r="N8" s="814">
        <v>1940199628</v>
      </c>
      <c r="O8" s="814"/>
      <c r="P8" s="814">
        <v>1940199628</v>
      </c>
      <c r="Q8" s="814">
        <v>2900000000</v>
      </c>
      <c r="R8" s="814">
        <v>3000000000</v>
      </c>
      <c r="S8" s="814">
        <v>3000000000</v>
      </c>
      <c r="T8" s="814">
        <v>3500000000</v>
      </c>
      <c r="U8" s="885">
        <v>3500000000</v>
      </c>
      <c r="V8" s="814">
        <f t="shared" si="0"/>
        <v>0</v>
      </c>
    </row>
    <row r="9" spans="1:22" s="760" customFormat="1" ht="18.95" customHeight="1">
      <c r="A9" s="818"/>
      <c r="B9" s="368" t="s">
        <v>92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>
        <f>SUM(S8)</f>
        <v>3000000000</v>
      </c>
      <c r="T9" s="368">
        <f>SUM(T8)</f>
        <v>3500000000</v>
      </c>
      <c r="U9" s="374">
        <f>SUM(U7:U8)</f>
        <v>15500000000</v>
      </c>
      <c r="V9" s="368">
        <f t="shared" si="0"/>
        <v>12000000000</v>
      </c>
    </row>
    <row r="10" spans="1:22" ht="18.95" customHeight="1">
      <c r="A10" s="818">
        <v>220</v>
      </c>
      <c r="B10" s="368" t="s">
        <v>225</v>
      </c>
      <c r="C10" s="814">
        <v>46356000</v>
      </c>
      <c r="D10" s="814">
        <v>18000000</v>
      </c>
      <c r="E10" s="814">
        <v>0</v>
      </c>
      <c r="F10" s="814">
        <v>20000000</v>
      </c>
      <c r="G10" s="814">
        <v>32000000</v>
      </c>
      <c r="H10" s="814">
        <v>40000000</v>
      </c>
      <c r="I10" s="814">
        <v>29792000</v>
      </c>
      <c r="J10" s="814">
        <v>14896000</v>
      </c>
      <c r="K10" s="814">
        <v>14896000</v>
      </c>
      <c r="L10" s="814"/>
      <c r="M10" s="814"/>
      <c r="N10" s="814"/>
      <c r="O10" s="814"/>
      <c r="P10" s="814"/>
      <c r="Q10" s="376"/>
      <c r="R10" s="814"/>
      <c r="S10" s="814"/>
      <c r="T10" s="814"/>
      <c r="U10" s="885"/>
      <c r="V10" s="814">
        <f t="shared" si="0"/>
        <v>0</v>
      </c>
    </row>
    <row r="11" spans="1:22" ht="18.95" customHeight="1">
      <c r="A11" s="818">
        <v>2210</v>
      </c>
      <c r="B11" s="368" t="s">
        <v>226</v>
      </c>
      <c r="C11" s="814">
        <v>270000000</v>
      </c>
      <c r="D11" s="814">
        <v>700000000</v>
      </c>
      <c r="E11" s="814">
        <v>850900000</v>
      </c>
      <c r="F11" s="814">
        <v>885527289</v>
      </c>
      <c r="G11" s="814">
        <v>855000000</v>
      </c>
      <c r="H11" s="814">
        <v>855000000</v>
      </c>
      <c r="I11" s="814">
        <v>855000000</v>
      </c>
      <c r="J11" s="814">
        <v>1381000000</v>
      </c>
      <c r="K11" s="814">
        <v>2000000000</v>
      </c>
      <c r="L11" s="814"/>
      <c r="M11" s="814"/>
      <c r="N11" s="814"/>
      <c r="O11" s="814"/>
      <c r="P11" s="814"/>
      <c r="Q11" s="814"/>
      <c r="R11" s="814"/>
      <c r="S11" s="814"/>
      <c r="T11" s="814"/>
      <c r="U11" s="885"/>
      <c r="V11" s="814">
        <f t="shared" si="0"/>
        <v>0</v>
      </c>
    </row>
    <row r="12" spans="1:22" ht="18.95" customHeight="1">
      <c r="A12" s="817">
        <v>22103</v>
      </c>
      <c r="B12" s="814" t="s">
        <v>833</v>
      </c>
      <c r="C12" s="814">
        <v>97356000</v>
      </c>
      <c r="D12" s="814">
        <v>60000000</v>
      </c>
      <c r="E12" s="814">
        <v>60000000</v>
      </c>
      <c r="F12" s="814">
        <v>181972636</v>
      </c>
      <c r="G12" s="814">
        <v>650000000</v>
      </c>
      <c r="H12" s="814">
        <v>650000000</v>
      </c>
      <c r="I12" s="814">
        <v>650000000</v>
      </c>
      <c r="J12" s="814">
        <v>1000000000</v>
      </c>
      <c r="K12" s="814">
        <v>22814714</v>
      </c>
      <c r="L12" s="814">
        <v>3152136000</v>
      </c>
      <c r="M12" s="814">
        <f>3152136000-2000000000</f>
        <v>1152136000</v>
      </c>
      <c r="N12" s="814">
        <v>859536750</v>
      </c>
      <c r="O12" s="814"/>
      <c r="P12" s="814">
        <v>859536750</v>
      </c>
      <c r="Q12" s="814">
        <v>1500000000</v>
      </c>
      <c r="R12" s="814">
        <v>1500000000</v>
      </c>
      <c r="S12" s="814">
        <v>2000000000</v>
      </c>
      <c r="T12" s="814">
        <v>2500000000</v>
      </c>
      <c r="U12" s="885">
        <v>2500000000</v>
      </c>
      <c r="V12" s="814">
        <f t="shared" si="0"/>
        <v>0</v>
      </c>
    </row>
    <row r="13" spans="1:22" ht="18.95" customHeight="1">
      <c r="A13" s="817">
        <v>22107</v>
      </c>
      <c r="B13" s="814" t="s">
        <v>1057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>
        <v>2400000000</v>
      </c>
      <c r="T13" s="814">
        <v>2400000000</v>
      </c>
      <c r="U13" s="885">
        <v>2400000000</v>
      </c>
      <c r="V13" s="814">
        <f t="shared" si="0"/>
        <v>0</v>
      </c>
    </row>
    <row r="14" spans="1:22" ht="18.95" customHeight="1">
      <c r="A14" s="817">
        <v>22108</v>
      </c>
      <c r="B14" s="814" t="s">
        <v>900</v>
      </c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>
        <v>0</v>
      </c>
      <c r="R14" s="814">
        <v>1051200000</v>
      </c>
      <c r="S14" s="814">
        <v>1051200000</v>
      </c>
      <c r="T14" s="814">
        <v>1051200000</v>
      </c>
      <c r="U14" s="885">
        <v>1238400000</v>
      </c>
      <c r="V14" s="814">
        <f t="shared" si="0"/>
        <v>187200000</v>
      </c>
    </row>
    <row r="15" spans="1:22" ht="18.95" customHeight="1">
      <c r="A15" s="817">
        <v>22111</v>
      </c>
      <c r="B15" s="814" t="s">
        <v>141</v>
      </c>
      <c r="C15" s="368"/>
      <c r="D15" s="368"/>
      <c r="E15" s="368"/>
      <c r="F15" s="368"/>
      <c r="G15" s="368"/>
      <c r="H15" s="368"/>
      <c r="I15" s="368"/>
      <c r="J15" s="368"/>
      <c r="K15" s="814"/>
      <c r="L15" s="814">
        <v>546300000</v>
      </c>
      <c r="M15" s="814">
        <f>8581957092-2000000000-216000000-68493120+702536028</f>
        <v>7000000000</v>
      </c>
      <c r="N15" s="814">
        <v>6586288000</v>
      </c>
      <c r="O15" s="814"/>
      <c r="P15" s="814">
        <v>6586288000</v>
      </c>
      <c r="Q15" s="814">
        <v>7000000000</v>
      </c>
      <c r="R15" s="814">
        <v>7000000000</v>
      </c>
      <c r="S15" s="814">
        <v>7000000000</v>
      </c>
      <c r="T15" s="814">
        <v>10000000000</v>
      </c>
      <c r="U15" s="885">
        <f>T15</f>
        <v>10000000000</v>
      </c>
      <c r="V15" s="814">
        <f t="shared" si="0"/>
        <v>0</v>
      </c>
    </row>
    <row r="16" spans="1:22" ht="18.95" customHeight="1">
      <c r="A16" s="817">
        <v>22118</v>
      </c>
      <c r="B16" s="814" t="s">
        <v>903</v>
      </c>
      <c r="C16" s="368"/>
      <c r="D16" s="368"/>
      <c r="E16" s="368"/>
      <c r="F16" s="368"/>
      <c r="G16" s="368"/>
      <c r="H16" s="368"/>
      <c r="I16" s="368"/>
      <c r="J16" s="368"/>
      <c r="K16" s="814"/>
      <c r="L16" s="814"/>
      <c r="M16" s="814"/>
      <c r="N16" s="814"/>
      <c r="O16" s="814"/>
      <c r="P16" s="814"/>
      <c r="Q16" s="814">
        <v>0</v>
      </c>
      <c r="R16" s="814">
        <v>220815000</v>
      </c>
      <c r="S16" s="814">
        <v>220815000</v>
      </c>
      <c r="T16" s="814">
        <v>0</v>
      </c>
      <c r="U16" s="885">
        <v>0</v>
      </c>
      <c r="V16" s="814">
        <f t="shared" si="0"/>
        <v>0</v>
      </c>
    </row>
    <row r="17" spans="1:27" ht="18.95" customHeight="1">
      <c r="A17" s="817">
        <v>22130</v>
      </c>
      <c r="B17" s="814" t="s">
        <v>862</v>
      </c>
      <c r="C17" s="368"/>
      <c r="D17" s="368"/>
      <c r="E17" s="368"/>
      <c r="F17" s="368"/>
      <c r="G17" s="368"/>
      <c r="H17" s="368"/>
      <c r="I17" s="368"/>
      <c r="J17" s="368"/>
      <c r="K17" s="814"/>
      <c r="L17" s="814"/>
      <c r="M17" s="814"/>
      <c r="N17" s="814"/>
      <c r="O17" s="814"/>
      <c r="P17" s="814">
        <v>0</v>
      </c>
      <c r="Q17" s="814">
        <v>9600000000</v>
      </c>
      <c r="R17" s="814">
        <v>11900000000</v>
      </c>
      <c r="S17" s="814">
        <v>62900000000</v>
      </c>
      <c r="T17" s="814">
        <v>56100000000</v>
      </c>
      <c r="U17" s="885">
        <f>T17</f>
        <v>56100000000</v>
      </c>
      <c r="V17" s="814">
        <f t="shared" si="0"/>
        <v>0</v>
      </c>
      <c r="Y17" s="819"/>
      <c r="AA17" s="745"/>
    </row>
    <row r="18" spans="1:27" ht="18.95" customHeight="1">
      <c r="A18" s="817">
        <v>22132</v>
      </c>
      <c r="B18" s="814" t="s">
        <v>1378</v>
      </c>
      <c r="C18" s="368"/>
      <c r="D18" s="368"/>
      <c r="E18" s="368"/>
      <c r="F18" s="368"/>
      <c r="G18" s="368"/>
      <c r="H18" s="368"/>
      <c r="I18" s="368"/>
      <c r="J18" s="368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85">
        <v>18000000000</v>
      </c>
      <c r="V18" s="814"/>
      <c r="Y18" s="819"/>
      <c r="AA18" s="745"/>
    </row>
    <row r="19" spans="1:27" ht="18.95" customHeight="1">
      <c r="A19" s="817">
        <v>22134</v>
      </c>
      <c r="B19" s="814" t="s">
        <v>1401</v>
      </c>
      <c r="C19" s="368"/>
      <c r="D19" s="368"/>
      <c r="E19" s="368"/>
      <c r="F19" s="368"/>
      <c r="G19" s="368"/>
      <c r="H19" s="368"/>
      <c r="I19" s="368"/>
      <c r="J19" s="368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85">
        <v>9000000000</v>
      </c>
      <c r="V19" s="814">
        <f t="shared" si="0"/>
        <v>9000000000</v>
      </c>
      <c r="Y19" s="819"/>
      <c r="AA19" s="745"/>
    </row>
    <row r="20" spans="1:27" ht="18.95" customHeight="1">
      <c r="A20" s="817">
        <v>22135</v>
      </c>
      <c r="B20" s="814" t="s">
        <v>831</v>
      </c>
      <c r="C20" s="368"/>
      <c r="D20" s="368"/>
      <c r="E20" s="368"/>
      <c r="F20" s="368"/>
      <c r="G20" s="368"/>
      <c r="H20" s="368"/>
      <c r="I20" s="368"/>
      <c r="J20" s="368"/>
      <c r="K20" s="814"/>
      <c r="L20" s="814">
        <v>0</v>
      </c>
      <c r="M20" s="814">
        <f>20000000000-1733260000-600000-72000000-108000000-300000000-500000000-452441754+166301754-1000000000-1000000000</f>
        <v>15000000000</v>
      </c>
      <c r="N20" s="814">
        <v>7200000000</v>
      </c>
      <c r="O20" s="814"/>
      <c r="P20" s="814"/>
      <c r="Q20" s="814">
        <v>1611200000</v>
      </c>
      <c r="R20" s="814">
        <v>1500000000</v>
      </c>
      <c r="S20" s="814">
        <v>2000000000</v>
      </c>
      <c r="T20" s="814">
        <v>2000000000</v>
      </c>
      <c r="U20" s="885">
        <v>2000000000</v>
      </c>
      <c r="V20" s="814">
        <f t="shared" si="0"/>
        <v>0</v>
      </c>
    </row>
    <row r="21" spans="1:27" ht="18.95" customHeight="1">
      <c r="A21" s="671">
        <v>22136</v>
      </c>
      <c r="B21" s="814" t="s">
        <v>1228</v>
      </c>
      <c r="C21" s="368"/>
      <c r="D21" s="368"/>
      <c r="E21" s="368"/>
      <c r="F21" s="368"/>
      <c r="G21" s="368"/>
      <c r="H21" s="368"/>
      <c r="I21" s="368"/>
      <c r="J21" s="368"/>
      <c r="K21" s="814"/>
      <c r="L21" s="814"/>
      <c r="M21" s="814"/>
      <c r="N21" s="814"/>
      <c r="O21" s="814"/>
      <c r="P21" s="814"/>
      <c r="Q21" s="814"/>
      <c r="R21" s="814"/>
      <c r="S21" s="814">
        <v>0</v>
      </c>
      <c r="T21" s="814">
        <v>800000000</v>
      </c>
      <c r="U21" s="885">
        <v>800000000</v>
      </c>
      <c r="V21" s="814">
        <f t="shared" si="0"/>
        <v>0</v>
      </c>
    </row>
    <row r="22" spans="1:27" ht="18.95" customHeight="1">
      <c r="A22" s="817">
        <v>22151</v>
      </c>
      <c r="B22" s="814" t="s">
        <v>883</v>
      </c>
      <c r="C22" s="368"/>
      <c r="D22" s="368"/>
      <c r="E22" s="368"/>
      <c r="F22" s="368"/>
      <c r="G22" s="368"/>
      <c r="H22" s="368"/>
      <c r="I22" s="368"/>
      <c r="J22" s="368"/>
      <c r="K22" s="814"/>
      <c r="L22" s="814"/>
      <c r="M22" s="814"/>
      <c r="N22" s="814"/>
      <c r="O22" s="814"/>
      <c r="P22" s="814">
        <v>0</v>
      </c>
      <c r="Q22" s="814">
        <v>1800000000</v>
      </c>
      <c r="R22" s="814">
        <v>1200000000</v>
      </c>
      <c r="S22" s="814">
        <v>1200000000</v>
      </c>
      <c r="T22" s="814">
        <v>1200000000</v>
      </c>
      <c r="U22" s="885">
        <v>1000000000</v>
      </c>
      <c r="V22" s="814">
        <f t="shared" si="0"/>
        <v>-200000000</v>
      </c>
    </row>
    <row r="23" spans="1:27" ht="18.95" customHeight="1">
      <c r="A23" s="817">
        <v>22151</v>
      </c>
      <c r="B23" s="814" t="s">
        <v>1224</v>
      </c>
      <c r="C23" s="368"/>
      <c r="D23" s="368"/>
      <c r="E23" s="368"/>
      <c r="F23" s="368"/>
      <c r="G23" s="368"/>
      <c r="H23" s="368"/>
      <c r="I23" s="368"/>
      <c r="J23" s="368"/>
      <c r="K23" s="814"/>
      <c r="L23" s="814"/>
      <c r="M23" s="814"/>
      <c r="N23" s="814"/>
      <c r="O23" s="814"/>
      <c r="P23" s="814"/>
      <c r="Q23" s="814"/>
      <c r="R23" s="814"/>
      <c r="S23" s="814">
        <v>0</v>
      </c>
      <c r="T23" s="814">
        <v>3000000000</v>
      </c>
      <c r="U23" s="885">
        <v>0</v>
      </c>
      <c r="V23" s="814">
        <f t="shared" si="0"/>
        <v>-3000000000</v>
      </c>
    </row>
    <row r="24" spans="1:27" ht="18.95" customHeight="1">
      <c r="A24" s="817">
        <v>22160</v>
      </c>
      <c r="B24" s="814" t="s">
        <v>851</v>
      </c>
      <c r="C24" s="368"/>
      <c r="D24" s="368"/>
      <c r="E24" s="368"/>
      <c r="F24" s="368"/>
      <c r="G24" s="368"/>
      <c r="H24" s="368"/>
      <c r="I24" s="368"/>
      <c r="J24" s="368"/>
      <c r="K24" s="814"/>
      <c r="L24" s="814"/>
      <c r="M24" s="814"/>
      <c r="N24" s="814"/>
      <c r="O24" s="814"/>
      <c r="P24" s="814">
        <v>0</v>
      </c>
      <c r="Q24" s="814">
        <v>6000000000</v>
      </c>
      <c r="R24" s="820"/>
      <c r="S24" s="820"/>
      <c r="T24" s="814">
        <v>6000000000</v>
      </c>
      <c r="U24" s="885">
        <v>1000000000</v>
      </c>
      <c r="V24" s="814">
        <f t="shared" si="0"/>
        <v>-5000000000</v>
      </c>
    </row>
    <row r="25" spans="1:27" ht="18.95" customHeight="1">
      <c r="A25" s="817">
        <v>22172</v>
      </c>
      <c r="B25" s="814" t="s">
        <v>1366</v>
      </c>
      <c r="C25" s="368"/>
      <c r="D25" s="368"/>
      <c r="E25" s="368"/>
      <c r="F25" s="368"/>
      <c r="G25" s="368"/>
      <c r="H25" s="368"/>
      <c r="I25" s="368"/>
      <c r="J25" s="368"/>
      <c r="K25" s="814"/>
      <c r="L25" s="814"/>
      <c r="M25" s="814"/>
      <c r="N25" s="814"/>
      <c r="O25" s="814"/>
      <c r="P25" s="814"/>
      <c r="Q25" s="814"/>
      <c r="R25" s="820"/>
      <c r="S25" s="820"/>
      <c r="T25" s="814">
        <v>0</v>
      </c>
      <c r="U25" s="885">
        <v>48000000000</v>
      </c>
      <c r="V25" s="814">
        <f t="shared" si="0"/>
        <v>48000000000</v>
      </c>
    </row>
    <row r="26" spans="1:27" ht="18.95" customHeight="1">
      <c r="A26" s="817">
        <v>22175</v>
      </c>
      <c r="B26" s="814" t="s">
        <v>931</v>
      </c>
      <c r="C26" s="368"/>
      <c r="D26" s="368"/>
      <c r="E26" s="368"/>
      <c r="F26" s="368"/>
      <c r="G26" s="368"/>
      <c r="H26" s="368"/>
      <c r="I26" s="368"/>
      <c r="J26" s="368"/>
      <c r="K26" s="814"/>
      <c r="L26" s="814"/>
      <c r="M26" s="814"/>
      <c r="N26" s="814"/>
      <c r="O26" s="814"/>
      <c r="P26" s="814"/>
      <c r="Q26" s="814">
        <v>0</v>
      </c>
      <c r="R26" s="814">
        <v>210000000</v>
      </c>
      <c r="S26" s="814">
        <v>210000000</v>
      </c>
      <c r="T26" s="814">
        <v>410000000</v>
      </c>
      <c r="U26" s="885">
        <v>410000000</v>
      </c>
      <c r="V26" s="814">
        <f t="shared" si="0"/>
        <v>0</v>
      </c>
    </row>
    <row r="27" spans="1:27" ht="18.95" customHeight="1">
      <c r="A27" s="817">
        <v>22178</v>
      </c>
      <c r="B27" s="814" t="s">
        <v>1427</v>
      </c>
      <c r="C27" s="368"/>
      <c r="D27" s="368"/>
      <c r="E27" s="368"/>
      <c r="F27" s="368"/>
      <c r="G27" s="368"/>
      <c r="H27" s="368"/>
      <c r="I27" s="368"/>
      <c r="J27" s="368"/>
      <c r="K27" s="814"/>
      <c r="L27" s="814"/>
      <c r="M27" s="814"/>
      <c r="N27" s="814"/>
      <c r="O27" s="814"/>
      <c r="P27" s="814"/>
      <c r="Q27" s="814"/>
      <c r="R27" s="814"/>
      <c r="S27" s="814"/>
      <c r="T27" s="814">
        <v>0</v>
      </c>
      <c r="U27" s="885">
        <v>4000000000</v>
      </c>
      <c r="V27" s="814">
        <f t="shared" si="0"/>
        <v>4000000000</v>
      </c>
    </row>
    <row r="28" spans="1:27" ht="18.95" customHeight="1">
      <c r="A28" s="817">
        <v>22188</v>
      </c>
      <c r="B28" s="814" t="s">
        <v>1238</v>
      </c>
      <c r="C28" s="368"/>
      <c r="D28" s="368"/>
      <c r="E28" s="368"/>
      <c r="F28" s="368"/>
      <c r="G28" s="368"/>
      <c r="H28" s="368"/>
      <c r="I28" s="368"/>
      <c r="J28" s="368"/>
      <c r="K28" s="814"/>
      <c r="L28" s="814"/>
      <c r="M28" s="814"/>
      <c r="N28" s="814"/>
      <c r="O28" s="814"/>
      <c r="P28" s="814"/>
      <c r="Q28" s="814"/>
      <c r="R28" s="814">
        <v>0</v>
      </c>
      <c r="S28" s="814">
        <v>1200000000</v>
      </c>
      <c r="T28" s="814">
        <v>1600000000</v>
      </c>
      <c r="U28" s="885">
        <v>2000000000</v>
      </c>
      <c r="V28" s="814">
        <f t="shared" si="0"/>
        <v>400000000</v>
      </c>
    </row>
    <row r="29" spans="1:27" ht="18.95" customHeight="1">
      <c r="A29" s="817"/>
      <c r="B29" s="368" t="s">
        <v>92</v>
      </c>
      <c r="C29" s="368"/>
      <c r="D29" s="368"/>
      <c r="E29" s="368"/>
      <c r="F29" s="368"/>
      <c r="G29" s="368"/>
      <c r="H29" s="368"/>
      <c r="I29" s="368"/>
      <c r="J29" s="368"/>
      <c r="K29" s="814">
        <v>0</v>
      </c>
      <c r="L29" s="368">
        <f>SUM(L12:L20)</f>
        <v>3698436000</v>
      </c>
      <c r="M29" s="368">
        <f>SUM(M12:M20)</f>
        <v>23152136000</v>
      </c>
      <c r="N29" s="368">
        <f>SUM(N12:N20)</f>
        <v>14645824750</v>
      </c>
      <c r="O29" s="368"/>
      <c r="P29" s="368">
        <f>SUM(P12:P24)</f>
        <v>7445824750</v>
      </c>
      <c r="Q29" s="368">
        <f>SUM(Q12:Q26)</f>
        <v>27511200000</v>
      </c>
      <c r="R29" s="368">
        <f>SUM(R12:R26)</f>
        <v>24582015000</v>
      </c>
      <c r="S29" s="368">
        <f>SUM(S12:S28)</f>
        <v>80182015000</v>
      </c>
      <c r="T29" s="368">
        <f>SUM(T12:T28)</f>
        <v>87061200000</v>
      </c>
      <c r="U29" s="374">
        <f>SUM(U12:U28)</f>
        <v>158448400000</v>
      </c>
      <c r="V29" s="368">
        <f t="shared" si="0"/>
        <v>71387200000</v>
      </c>
    </row>
    <row r="30" spans="1:27" ht="18.95" customHeight="1">
      <c r="A30" s="818">
        <v>2220</v>
      </c>
      <c r="B30" s="368" t="s">
        <v>240</v>
      </c>
      <c r="C30" s="368"/>
      <c r="D30" s="368"/>
      <c r="E30" s="368"/>
      <c r="F30" s="368"/>
      <c r="G30" s="368"/>
      <c r="H30" s="368"/>
      <c r="I30" s="368"/>
      <c r="J30" s="368"/>
      <c r="K30" s="814">
        <v>59584000</v>
      </c>
      <c r="L30" s="814"/>
      <c r="M30" s="814"/>
      <c r="N30" s="814"/>
      <c r="O30" s="814"/>
      <c r="P30" s="814"/>
      <c r="Q30" s="814"/>
      <c r="R30" s="814"/>
      <c r="S30" s="814"/>
      <c r="T30" s="814"/>
      <c r="U30" s="885"/>
      <c r="V30" s="814">
        <f t="shared" si="0"/>
        <v>0</v>
      </c>
    </row>
    <row r="31" spans="1:27" ht="18.95" customHeight="1">
      <c r="A31" s="817">
        <v>22205</v>
      </c>
      <c r="B31" s="814" t="s">
        <v>306</v>
      </c>
      <c r="C31" s="814">
        <v>36000000</v>
      </c>
      <c r="D31" s="814">
        <f>93221000+18000+300000</f>
        <v>93539000</v>
      </c>
      <c r="E31" s="814">
        <v>82800000</v>
      </c>
      <c r="F31" s="814">
        <v>297500000</v>
      </c>
      <c r="G31" s="814">
        <v>0</v>
      </c>
      <c r="H31" s="814">
        <v>281600000</v>
      </c>
      <c r="I31" s="814">
        <v>0</v>
      </c>
      <c r="J31" s="814">
        <v>200000000</v>
      </c>
      <c r="K31" s="814"/>
      <c r="L31" s="814">
        <v>1029600000</v>
      </c>
      <c r="M31" s="814">
        <v>900000000</v>
      </c>
      <c r="N31" s="814">
        <f>M31</f>
        <v>900000000</v>
      </c>
      <c r="O31" s="814"/>
      <c r="P31" s="814">
        <v>900000000</v>
      </c>
      <c r="Q31" s="814">
        <v>1000000000</v>
      </c>
      <c r="R31" s="814">
        <v>1000000000</v>
      </c>
      <c r="S31" s="814">
        <v>1500000000</v>
      </c>
      <c r="T31" s="814">
        <v>2500000000</v>
      </c>
      <c r="U31" s="885">
        <v>6000000000</v>
      </c>
      <c r="V31" s="814">
        <f t="shared" si="0"/>
        <v>3500000000</v>
      </c>
    </row>
    <row r="32" spans="1:27" ht="18.95" customHeight="1">
      <c r="A32" s="817">
        <v>22206</v>
      </c>
      <c r="B32" s="814" t="s">
        <v>1286</v>
      </c>
      <c r="C32" s="814"/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>
        <v>0</v>
      </c>
      <c r="T32" s="814">
        <v>1400000000</v>
      </c>
      <c r="U32" s="885">
        <v>1067500000</v>
      </c>
      <c r="V32" s="814">
        <f t="shared" si="0"/>
        <v>-332500000</v>
      </c>
    </row>
    <row r="33" spans="1:22" ht="18.95" customHeight="1">
      <c r="A33" s="817">
        <v>22207</v>
      </c>
      <c r="B33" s="814" t="s">
        <v>505</v>
      </c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>
        <v>0</v>
      </c>
      <c r="N33" s="814">
        <v>972000000</v>
      </c>
      <c r="O33" s="814"/>
      <c r="P33" s="814">
        <v>972000000</v>
      </c>
      <c r="Q33" s="814">
        <v>972000000</v>
      </c>
      <c r="R33" s="814">
        <v>972000000</v>
      </c>
      <c r="S33" s="814">
        <v>972000000</v>
      </c>
      <c r="T33" s="814">
        <v>0</v>
      </c>
      <c r="U33" s="885">
        <v>0</v>
      </c>
      <c r="V33" s="814">
        <f t="shared" si="0"/>
        <v>0</v>
      </c>
    </row>
    <row r="34" spans="1:22" ht="18.95" customHeight="1">
      <c r="A34" s="817">
        <v>22209</v>
      </c>
      <c r="B34" s="814" t="s">
        <v>1408</v>
      </c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85">
        <v>2136000000</v>
      </c>
      <c r="V34" s="814"/>
    </row>
    <row r="35" spans="1:22" ht="18.95" customHeight="1">
      <c r="A35" s="817">
        <v>22211</v>
      </c>
      <c r="B35" s="814" t="s">
        <v>307</v>
      </c>
      <c r="C35" s="814">
        <v>20624396</v>
      </c>
      <c r="D35" s="814">
        <v>24651000</v>
      </c>
      <c r="E35" s="814">
        <v>24651000</v>
      </c>
      <c r="F35" s="814">
        <f>24651000+1711500</f>
        <v>26362500</v>
      </c>
      <c r="G35" s="814">
        <v>21089600</v>
      </c>
      <c r="H35" s="814">
        <v>26362000</v>
      </c>
      <c r="I35" s="814">
        <v>19364418</v>
      </c>
      <c r="J35" s="814">
        <v>19364418</v>
      </c>
      <c r="K35" s="814">
        <v>189000000</v>
      </c>
      <c r="L35" s="814">
        <v>410400000</v>
      </c>
      <c r="M35" s="814">
        <f>570000000</f>
        <v>570000000</v>
      </c>
      <c r="N35" s="814">
        <v>900000000</v>
      </c>
      <c r="O35" s="814"/>
      <c r="P35" s="814">
        <v>900000000</v>
      </c>
      <c r="Q35" s="814">
        <v>1100000000</v>
      </c>
      <c r="R35" s="814">
        <v>1100000000</v>
      </c>
      <c r="S35" s="814">
        <v>1500000000</v>
      </c>
      <c r="T35" s="814">
        <v>2000000000</v>
      </c>
      <c r="U35" s="885">
        <f>T35</f>
        <v>2000000000</v>
      </c>
      <c r="V35" s="814">
        <f t="shared" si="0"/>
        <v>0</v>
      </c>
    </row>
    <row r="36" spans="1:22" ht="18.95" customHeight="1">
      <c r="A36" s="817">
        <v>22213</v>
      </c>
      <c r="B36" s="814" t="s">
        <v>849</v>
      </c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>
        <v>0</v>
      </c>
      <c r="N36" s="814">
        <v>276000000</v>
      </c>
      <c r="O36" s="814"/>
      <c r="P36" s="814">
        <v>0</v>
      </c>
      <c r="Q36" s="814">
        <v>6000000000</v>
      </c>
      <c r="R36" s="814">
        <v>6000000000</v>
      </c>
      <c r="S36" s="814">
        <v>3000000000</v>
      </c>
      <c r="T36" s="814">
        <v>3000000000</v>
      </c>
      <c r="U36" s="885">
        <v>1500000000</v>
      </c>
      <c r="V36" s="814">
        <f t="shared" si="0"/>
        <v>-1500000000</v>
      </c>
    </row>
    <row r="37" spans="1:22" ht="18.95" customHeight="1">
      <c r="A37" s="817"/>
      <c r="B37" s="368" t="s">
        <v>92</v>
      </c>
      <c r="C37" s="368">
        <f t="shared" ref="C37:J37" si="1">SUM(C31:C35)</f>
        <v>56624396</v>
      </c>
      <c r="D37" s="368">
        <f t="shared" si="1"/>
        <v>118190000</v>
      </c>
      <c r="E37" s="368">
        <f t="shared" si="1"/>
        <v>107451000</v>
      </c>
      <c r="F37" s="368">
        <f t="shared" si="1"/>
        <v>323862500</v>
      </c>
      <c r="G37" s="368">
        <f t="shared" si="1"/>
        <v>21089600</v>
      </c>
      <c r="H37" s="368">
        <f t="shared" si="1"/>
        <v>307962000</v>
      </c>
      <c r="I37" s="368">
        <f t="shared" si="1"/>
        <v>19364418</v>
      </c>
      <c r="J37" s="368">
        <f t="shared" si="1"/>
        <v>219364418</v>
      </c>
      <c r="K37" s="814">
        <v>26205043</v>
      </c>
      <c r="L37" s="368">
        <f>SUM(L31:L35)</f>
        <v>1440000000</v>
      </c>
      <c r="M37" s="368">
        <f>SUM(M31:M35)</f>
        <v>1470000000</v>
      </c>
      <c r="N37" s="368">
        <f>SUM(N31:N36)</f>
        <v>3048000000</v>
      </c>
      <c r="O37" s="368"/>
      <c r="P37" s="368">
        <f t="shared" ref="P37:U37" si="2">SUM(P31:P36)</f>
        <v>2772000000</v>
      </c>
      <c r="Q37" s="368">
        <f t="shared" si="2"/>
        <v>9072000000</v>
      </c>
      <c r="R37" s="368">
        <f t="shared" si="2"/>
        <v>9072000000</v>
      </c>
      <c r="S37" s="368">
        <f t="shared" si="2"/>
        <v>6972000000</v>
      </c>
      <c r="T37" s="368">
        <f t="shared" si="2"/>
        <v>8900000000</v>
      </c>
      <c r="U37" s="374">
        <f t="shared" si="2"/>
        <v>12703500000</v>
      </c>
      <c r="V37" s="368">
        <f t="shared" si="0"/>
        <v>3803500000</v>
      </c>
    </row>
    <row r="38" spans="1:22" ht="18.95" customHeight="1">
      <c r="A38" s="818">
        <v>2710</v>
      </c>
      <c r="B38" s="368" t="s">
        <v>976</v>
      </c>
      <c r="C38" s="368"/>
      <c r="D38" s="368"/>
      <c r="E38" s="368"/>
      <c r="F38" s="368"/>
      <c r="G38" s="368"/>
      <c r="H38" s="368"/>
      <c r="I38" s="368"/>
      <c r="J38" s="368"/>
      <c r="K38" s="814"/>
      <c r="L38" s="368"/>
      <c r="M38" s="368"/>
      <c r="N38" s="368"/>
      <c r="O38" s="368"/>
      <c r="P38" s="368"/>
      <c r="Q38" s="368"/>
      <c r="R38" s="368"/>
      <c r="S38" s="368"/>
      <c r="T38" s="368"/>
      <c r="U38" s="374"/>
      <c r="V38" s="814">
        <f t="shared" si="0"/>
        <v>0</v>
      </c>
    </row>
    <row r="39" spans="1:22" ht="18.95" customHeight="1">
      <c r="A39" s="817">
        <v>27402</v>
      </c>
      <c r="B39" s="814" t="s">
        <v>1409</v>
      </c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>
        <v>0</v>
      </c>
      <c r="Q39" s="814">
        <v>1800000000</v>
      </c>
      <c r="R39" s="814">
        <v>600000000</v>
      </c>
      <c r="S39" s="814">
        <v>600000000</v>
      </c>
      <c r="T39" s="814">
        <v>1000000000</v>
      </c>
      <c r="U39" s="885">
        <v>1650000000</v>
      </c>
      <c r="V39" s="814">
        <f t="shared" si="0"/>
        <v>650000000</v>
      </c>
    </row>
    <row r="40" spans="1:22" ht="18.95" customHeight="1">
      <c r="A40" s="817">
        <v>27402</v>
      </c>
      <c r="B40" s="814" t="s">
        <v>1181</v>
      </c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>
        <v>900000000</v>
      </c>
      <c r="U40" s="885">
        <v>0</v>
      </c>
      <c r="V40" s="814">
        <f t="shared" si="0"/>
        <v>-900000000</v>
      </c>
    </row>
    <row r="41" spans="1:22" ht="18.95" customHeight="1">
      <c r="A41" s="817">
        <v>27606</v>
      </c>
      <c r="B41" s="814" t="s">
        <v>1496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>
        <v>3158000000</v>
      </c>
      <c r="Q41" s="814">
        <v>7200000000</v>
      </c>
      <c r="R41" s="814">
        <v>1600000000</v>
      </c>
      <c r="S41" s="814">
        <v>2000000000</v>
      </c>
      <c r="T41" s="814">
        <f>S41</f>
        <v>2000000000</v>
      </c>
      <c r="U41" s="885">
        <v>3000000000</v>
      </c>
      <c r="V41" s="814">
        <f t="shared" si="0"/>
        <v>1000000000</v>
      </c>
    </row>
    <row r="42" spans="1:22" ht="18.95" customHeight="1">
      <c r="A42" s="817">
        <v>27606</v>
      </c>
      <c r="B42" s="814" t="s">
        <v>1276</v>
      </c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>
        <v>0</v>
      </c>
      <c r="R42" s="814">
        <v>1000000000</v>
      </c>
      <c r="S42" s="814">
        <v>2000000000</v>
      </c>
      <c r="T42" s="814">
        <f>S42</f>
        <v>2000000000</v>
      </c>
      <c r="U42" s="885">
        <v>0</v>
      </c>
      <c r="V42" s="814">
        <f t="shared" si="0"/>
        <v>-2000000000</v>
      </c>
    </row>
    <row r="43" spans="1:22" ht="18.95" customHeight="1">
      <c r="A43" s="817">
        <v>27608</v>
      </c>
      <c r="B43" s="814" t="s">
        <v>1260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>
        <v>0</v>
      </c>
      <c r="T43" s="814">
        <v>6000000000</v>
      </c>
      <c r="U43" s="885">
        <v>3000000000</v>
      </c>
      <c r="V43" s="814">
        <f t="shared" si="0"/>
        <v>-3000000000</v>
      </c>
    </row>
    <row r="44" spans="1:22" ht="18.95" customHeight="1">
      <c r="A44" s="817"/>
      <c r="B44" s="368" t="s">
        <v>92</v>
      </c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368">
        <f>SUM(P39:P42)</f>
        <v>3158000000</v>
      </c>
      <c r="Q44" s="368">
        <f>SUM(Q39:Q42)</f>
        <v>9000000000</v>
      </c>
      <c r="R44" s="368">
        <f>SUM(R39:R42)</f>
        <v>3200000000</v>
      </c>
      <c r="S44" s="368">
        <f>SUM(S39:S43)</f>
        <v>4600000000</v>
      </c>
      <c r="T44" s="368">
        <f>SUM(T39:T43)</f>
        <v>11900000000</v>
      </c>
      <c r="U44" s="374">
        <f>SUM(U39:U43)</f>
        <v>7650000000</v>
      </c>
      <c r="V44" s="368">
        <f t="shared" si="0"/>
        <v>-4250000000</v>
      </c>
    </row>
    <row r="45" spans="1:22" ht="18.95" customHeight="1">
      <c r="A45" s="818">
        <v>2720</v>
      </c>
      <c r="B45" s="368" t="s">
        <v>1302</v>
      </c>
      <c r="C45" s="814"/>
      <c r="D45" s="814"/>
      <c r="E45" s="814" t="s">
        <v>4</v>
      </c>
      <c r="F45" s="814">
        <v>0</v>
      </c>
      <c r="G45" s="814">
        <v>0</v>
      </c>
      <c r="H45" s="814">
        <v>0</v>
      </c>
      <c r="I45" s="814">
        <v>0</v>
      </c>
      <c r="J45" s="814"/>
      <c r="K45" s="814">
        <v>1000000000</v>
      </c>
      <c r="L45" s="814"/>
      <c r="M45" s="814"/>
      <c r="N45" s="814"/>
      <c r="O45" s="814"/>
      <c r="P45" s="814"/>
      <c r="Q45" s="814"/>
      <c r="R45" s="814"/>
      <c r="S45" s="814"/>
      <c r="T45" s="814"/>
      <c r="U45" s="885"/>
      <c r="V45" s="814">
        <f t="shared" si="0"/>
        <v>0</v>
      </c>
    </row>
    <row r="46" spans="1:22" ht="18.95" customHeight="1">
      <c r="A46" s="817">
        <v>27202</v>
      </c>
      <c r="B46" s="814" t="s">
        <v>502</v>
      </c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>
        <v>0</v>
      </c>
      <c r="R46" s="814">
        <v>6700000000</v>
      </c>
      <c r="S46" s="814">
        <v>6700000000</v>
      </c>
      <c r="T46" s="814">
        <v>9468848000</v>
      </c>
      <c r="U46" s="885">
        <v>9300000000</v>
      </c>
      <c r="V46" s="814">
        <f t="shared" si="0"/>
        <v>-168848000</v>
      </c>
    </row>
    <row r="47" spans="1:22" ht="18.95" customHeight="1">
      <c r="A47" s="817">
        <v>27206</v>
      </c>
      <c r="B47" s="814" t="s">
        <v>1098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>
        <v>2300000000</v>
      </c>
      <c r="Q47" s="814">
        <v>13200000000</v>
      </c>
      <c r="R47" s="814">
        <v>24000000000</v>
      </c>
      <c r="S47" s="814">
        <v>24000000000</v>
      </c>
      <c r="T47" s="814">
        <f>S47</f>
        <v>24000000000</v>
      </c>
      <c r="U47" s="885">
        <v>18000000000</v>
      </c>
      <c r="V47" s="814">
        <f t="shared" si="0"/>
        <v>-6000000000</v>
      </c>
    </row>
    <row r="48" spans="1:22" ht="18.95" customHeight="1">
      <c r="A48" s="817">
        <v>27207</v>
      </c>
      <c r="B48" s="814" t="s">
        <v>1182</v>
      </c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>
        <v>2400000000</v>
      </c>
      <c r="R48" s="814">
        <v>3000000000</v>
      </c>
      <c r="S48" s="814">
        <v>7000000000</v>
      </c>
      <c r="T48" s="814">
        <v>9000000000</v>
      </c>
      <c r="U48" s="885">
        <v>0</v>
      </c>
      <c r="V48" s="814">
        <f t="shared" si="0"/>
        <v>-9000000000</v>
      </c>
    </row>
    <row r="49" spans="1:25" ht="18.95" customHeight="1">
      <c r="A49" s="817">
        <v>27202</v>
      </c>
      <c r="B49" s="814" t="s">
        <v>1195</v>
      </c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>
        <v>2400000000</v>
      </c>
      <c r="U49" s="885">
        <v>2400000000</v>
      </c>
      <c r="V49" s="814">
        <f t="shared" si="0"/>
        <v>0</v>
      </c>
    </row>
    <row r="50" spans="1:25" ht="18.95" customHeight="1">
      <c r="A50" s="817">
        <v>27202</v>
      </c>
      <c r="B50" s="814" t="s">
        <v>1494</v>
      </c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14"/>
      <c r="T50" s="814">
        <v>0</v>
      </c>
      <c r="U50" s="885">
        <v>2000000000</v>
      </c>
      <c r="V50" s="814">
        <f t="shared" si="0"/>
        <v>2000000000</v>
      </c>
    </row>
    <row r="51" spans="1:25" ht="18.95" customHeight="1">
      <c r="A51" s="817">
        <v>27202</v>
      </c>
      <c r="B51" s="814" t="s">
        <v>1495</v>
      </c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14"/>
      <c r="T51" s="814">
        <v>0</v>
      </c>
      <c r="U51" s="885">
        <v>2280000000</v>
      </c>
      <c r="V51" s="814">
        <f t="shared" si="0"/>
        <v>2280000000</v>
      </c>
    </row>
    <row r="52" spans="1:25" ht="18.95" customHeight="1">
      <c r="A52" s="817">
        <v>27202</v>
      </c>
      <c r="B52" s="814" t="s">
        <v>1298</v>
      </c>
      <c r="C52" s="814"/>
      <c r="D52" s="814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14"/>
      <c r="S52" s="814">
        <v>0</v>
      </c>
      <c r="T52" s="814">
        <v>5100000000</v>
      </c>
      <c r="U52" s="885">
        <v>0</v>
      </c>
      <c r="V52" s="814">
        <f t="shared" si="0"/>
        <v>-5100000000</v>
      </c>
    </row>
    <row r="53" spans="1:25" ht="18.95" customHeight="1">
      <c r="A53" s="817"/>
      <c r="B53" s="368" t="s">
        <v>92</v>
      </c>
      <c r="C53" s="814"/>
      <c r="D53" s="814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368">
        <f>SUM(P47:P48)</f>
        <v>2300000000</v>
      </c>
      <c r="Q53" s="368">
        <f>SUM(Q47:Q48)</f>
        <v>15600000000</v>
      </c>
      <c r="R53" s="368">
        <f>SUM(R46:R48)</f>
        <v>33700000000</v>
      </c>
      <c r="S53" s="368">
        <f>SUM(S46:S48)</f>
        <v>37700000000</v>
      </c>
      <c r="T53" s="368">
        <f>SUM(T46:T52)</f>
        <v>49968848000</v>
      </c>
      <c r="U53" s="374">
        <f>SUM(U46:U52)</f>
        <v>33980000000</v>
      </c>
      <c r="V53" s="368">
        <f t="shared" si="0"/>
        <v>-15988848000</v>
      </c>
    </row>
    <row r="54" spans="1:25" ht="18.95" customHeight="1">
      <c r="A54" s="818">
        <v>2510</v>
      </c>
      <c r="B54" s="368" t="s">
        <v>1296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368"/>
      <c r="Q54" s="368"/>
      <c r="R54" s="368"/>
      <c r="S54" s="368"/>
      <c r="T54" s="368"/>
      <c r="U54" s="374"/>
      <c r="V54" s="814">
        <f t="shared" si="0"/>
        <v>0</v>
      </c>
    </row>
    <row r="55" spans="1:25" ht="18.95" customHeight="1">
      <c r="A55" s="817">
        <v>25102</v>
      </c>
      <c r="B55" s="814" t="s">
        <v>904</v>
      </c>
      <c r="C55" s="814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4">
        <v>3602996306</v>
      </c>
      <c r="T55" s="814">
        <v>3773260504</v>
      </c>
      <c r="U55" s="814">
        <v>4817413931</v>
      </c>
      <c r="V55" s="814">
        <f t="shared" si="0"/>
        <v>1044153427</v>
      </c>
      <c r="X55" s="745"/>
      <c r="Y55" s="745"/>
    </row>
    <row r="56" spans="1:25" ht="18.95" customHeight="1">
      <c r="A56" s="817">
        <v>25103</v>
      </c>
      <c r="B56" s="814" t="s">
        <v>1498</v>
      </c>
      <c r="C56" s="814"/>
      <c r="D56" s="814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14"/>
      <c r="T56" s="814">
        <v>24000000000</v>
      </c>
      <c r="U56" s="814">
        <v>41000000000</v>
      </c>
      <c r="V56" s="814"/>
      <c r="X56" s="745"/>
      <c r="Y56" s="745"/>
    </row>
    <row r="57" spans="1:25" ht="18.95" customHeight="1">
      <c r="A57" s="817"/>
      <c r="B57" s="368" t="s">
        <v>92</v>
      </c>
      <c r="C57" s="814"/>
      <c r="D57" s="814"/>
      <c r="E57" s="814"/>
      <c r="F57" s="814"/>
      <c r="G57" s="814"/>
      <c r="H57" s="814"/>
      <c r="I57" s="814"/>
      <c r="J57" s="814"/>
      <c r="K57" s="814"/>
      <c r="L57" s="814"/>
      <c r="M57" s="814"/>
      <c r="N57" s="814"/>
      <c r="O57" s="814"/>
      <c r="P57" s="368"/>
      <c r="Q57" s="368"/>
      <c r="R57" s="368"/>
      <c r="S57" s="368">
        <f>SUM(S55)</f>
        <v>3602996306</v>
      </c>
      <c r="T57" s="368">
        <f>SUM(T55:T56)</f>
        <v>27773260504</v>
      </c>
      <c r="U57" s="374">
        <f>SUM(U55:U56)</f>
        <v>45817413931</v>
      </c>
      <c r="V57" s="814">
        <f t="shared" si="0"/>
        <v>18044153427</v>
      </c>
    </row>
    <row r="58" spans="1:25" ht="18.95" customHeight="1">
      <c r="A58" s="821">
        <v>2630</v>
      </c>
      <c r="B58" s="822" t="s">
        <v>426</v>
      </c>
      <c r="C58" s="814"/>
      <c r="D58" s="814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85"/>
      <c r="V58" s="814">
        <f t="shared" si="0"/>
        <v>0</v>
      </c>
    </row>
    <row r="59" spans="1:25" ht="18.95" customHeight="1">
      <c r="A59" s="817">
        <v>26305</v>
      </c>
      <c r="B59" s="814" t="s">
        <v>832</v>
      </c>
      <c r="C59" s="368"/>
      <c r="D59" s="368"/>
      <c r="E59" s="368"/>
      <c r="F59" s="368"/>
      <c r="G59" s="368"/>
      <c r="H59" s="368"/>
      <c r="I59" s="368"/>
      <c r="J59" s="368"/>
      <c r="K59" s="814"/>
      <c r="L59" s="814">
        <v>1000000000</v>
      </c>
      <c r="M59" s="814">
        <f>700000000+300000000</f>
        <v>1000000000</v>
      </c>
      <c r="N59" s="814">
        <v>1050000000</v>
      </c>
      <c r="O59" s="814"/>
      <c r="P59" s="814">
        <v>540000000</v>
      </c>
      <c r="Q59" s="814">
        <v>1080000000</v>
      </c>
      <c r="R59" s="814">
        <v>1728000000</v>
      </c>
      <c r="S59" s="814">
        <v>2592000000</v>
      </c>
      <c r="T59" s="814">
        <v>3888000000</v>
      </c>
      <c r="U59" s="885">
        <v>3888000000</v>
      </c>
      <c r="V59" s="814">
        <f t="shared" si="0"/>
        <v>0</v>
      </c>
    </row>
    <row r="60" spans="1:25" ht="18.95" customHeight="1">
      <c r="A60" s="817">
        <v>26306</v>
      </c>
      <c r="B60" s="814" t="s">
        <v>558</v>
      </c>
      <c r="C60" s="368"/>
      <c r="D60" s="368"/>
      <c r="E60" s="368"/>
      <c r="F60" s="368"/>
      <c r="G60" s="368"/>
      <c r="H60" s="368"/>
      <c r="I60" s="368"/>
      <c r="J60" s="368"/>
      <c r="K60" s="814"/>
      <c r="L60" s="814"/>
      <c r="M60" s="814">
        <v>0</v>
      </c>
      <c r="N60" s="814">
        <v>410000000</v>
      </c>
      <c r="O60" s="814"/>
      <c r="P60" s="814">
        <v>410000000</v>
      </c>
      <c r="Q60" s="814">
        <v>600000000</v>
      </c>
      <c r="R60" s="814">
        <v>600000000</v>
      </c>
      <c r="S60" s="814">
        <v>800000000</v>
      </c>
      <c r="T60" s="814">
        <v>800000000</v>
      </c>
      <c r="U60" s="885">
        <v>1000000000</v>
      </c>
      <c r="V60" s="814">
        <f t="shared" si="0"/>
        <v>200000000</v>
      </c>
    </row>
    <row r="61" spans="1:25" ht="18.95" customHeight="1">
      <c r="A61" s="817">
        <v>26307</v>
      </c>
      <c r="B61" s="814" t="s">
        <v>905</v>
      </c>
      <c r="C61" s="368"/>
      <c r="D61" s="368"/>
      <c r="E61" s="368"/>
      <c r="F61" s="368"/>
      <c r="G61" s="368"/>
      <c r="H61" s="368"/>
      <c r="I61" s="368"/>
      <c r="J61" s="368"/>
      <c r="K61" s="814"/>
      <c r="L61" s="814"/>
      <c r="M61" s="814"/>
      <c r="N61" s="814"/>
      <c r="O61" s="814"/>
      <c r="P61" s="814"/>
      <c r="Q61" s="814">
        <v>0</v>
      </c>
      <c r="R61" s="814">
        <v>300000000</v>
      </c>
      <c r="S61" s="814">
        <v>300000000</v>
      </c>
      <c r="T61" s="814">
        <v>300000000</v>
      </c>
      <c r="U61" s="885">
        <v>0</v>
      </c>
      <c r="V61" s="814">
        <f t="shared" si="0"/>
        <v>-300000000</v>
      </c>
    </row>
    <row r="62" spans="1:25" ht="18.95" customHeight="1">
      <c r="A62" s="817">
        <v>26301</v>
      </c>
      <c r="B62" s="814" t="s">
        <v>535</v>
      </c>
      <c r="C62" s="368"/>
      <c r="D62" s="368"/>
      <c r="E62" s="368"/>
      <c r="F62" s="368"/>
      <c r="G62" s="368"/>
      <c r="H62" s="368"/>
      <c r="I62" s="368"/>
      <c r="J62" s="368"/>
      <c r="K62" s="814"/>
      <c r="L62" s="814"/>
      <c r="M62" s="814"/>
      <c r="N62" s="814"/>
      <c r="O62" s="814"/>
      <c r="P62" s="814"/>
      <c r="Q62" s="814">
        <v>0</v>
      </c>
      <c r="R62" s="814">
        <v>1000000000</v>
      </c>
      <c r="S62" s="814">
        <v>3000000000</v>
      </c>
      <c r="T62" s="814">
        <v>4000000000</v>
      </c>
      <c r="U62" s="885">
        <v>3500000000</v>
      </c>
      <c r="V62" s="814">
        <f t="shared" si="0"/>
        <v>-500000000</v>
      </c>
    </row>
    <row r="63" spans="1:25" ht="18.95" customHeight="1">
      <c r="A63" s="817">
        <v>26310</v>
      </c>
      <c r="B63" s="814" t="s">
        <v>1060</v>
      </c>
      <c r="C63" s="368"/>
      <c r="D63" s="368"/>
      <c r="E63" s="368"/>
      <c r="F63" s="368"/>
      <c r="G63" s="368"/>
      <c r="H63" s="368"/>
      <c r="I63" s="368"/>
      <c r="J63" s="368"/>
      <c r="K63" s="814"/>
      <c r="L63" s="814"/>
      <c r="M63" s="814"/>
      <c r="N63" s="814"/>
      <c r="O63" s="814"/>
      <c r="P63" s="814"/>
      <c r="Q63" s="814"/>
      <c r="R63" s="814"/>
      <c r="S63" s="814">
        <v>1300000000</v>
      </c>
      <c r="T63" s="814">
        <v>1600000000</v>
      </c>
      <c r="U63" s="885">
        <v>1600000000</v>
      </c>
      <c r="V63" s="814">
        <f t="shared" si="0"/>
        <v>0</v>
      </c>
    </row>
    <row r="64" spans="1:25" s="819" customFormat="1" ht="18.95" customHeight="1">
      <c r="A64" s="817">
        <v>26317</v>
      </c>
      <c r="B64" s="814" t="s">
        <v>1071</v>
      </c>
      <c r="C64" s="368"/>
      <c r="D64" s="368"/>
      <c r="E64" s="368"/>
      <c r="F64" s="368"/>
      <c r="G64" s="368"/>
      <c r="H64" s="368"/>
      <c r="I64" s="368"/>
      <c r="J64" s="368"/>
      <c r="K64" s="816"/>
      <c r="L64" s="816"/>
      <c r="M64" s="816"/>
      <c r="N64" s="816"/>
      <c r="O64" s="816">
        <v>300000000</v>
      </c>
      <c r="P64" s="816">
        <v>300000000</v>
      </c>
      <c r="Q64" s="816">
        <f t="shared" ref="Q64" si="3">P64-O64</f>
        <v>0</v>
      </c>
      <c r="R64" s="823"/>
      <c r="S64" s="814">
        <v>0</v>
      </c>
      <c r="T64" s="814">
        <v>1500000000</v>
      </c>
      <c r="U64" s="885">
        <v>0</v>
      </c>
      <c r="V64" s="814">
        <f t="shared" si="0"/>
        <v>-1500000000</v>
      </c>
    </row>
    <row r="65" spans="1:25" ht="18.95" customHeight="1">
      <c r="A65" s="817">
        <v>26309</v>
      </c>
      <c r="B65" s="814" t="s">
        <v>1227</v>
      </c>
      <c r="C65" s="368"/>
      <c r="D65" s="368"/>
      <c r="E65" s="368"/>
      <c r="F65" s="368"/>
      <c r="G65" s="368"/>
      <c r="H65" s="368"/>
      <c r="I65" s="368"/>
      <c r="J65" s="368"/>
      <c r="K65" s="814"/>
      <c r="L65" s="814"/>
      <c r="M65" s="814"/>
      <c r="N65" s="814"/>
      <c r="O65" s="814"/>
      <c r="P65" s="814"/>
      <c r="Q65" s="814"/>
      <c r="R65" s="814"/>
      <c r="S65" s="814">
        <v>0</v>
      </c>
      <c r="T65" s="814">
        <v>252000000</v>
      </c>
      <c r="U65" s="885">
        <v>400000000</v>
      </c>
      <c r="V65" s="814">
        <f t="shared" si="0"/>
        <v>148000000</v>
      </c>
    </row>
    <row r="66" spans="1:25" ht="18.95" customHeight="1">
      <c r="A66" s="817">
        <v>26319</v>
      </c>
      <c r="B66" s="814" t="s">
        <v>1262</v>
      </c>
      <c r="C66" s="368"/>
      <c r="D66" s="368"/>
      <c r="E66" s="368"/>
      <c r="F66" s="368"/>
      <c r="G66" s="368"/>
      <c r="H66" s="368"/>
      <c r="I66" s="368"/>
      <c r="J66" s="368"/>
      <c r="K66" s="814"/>
      <c r="L66" s="814"/>
      <c r="M66" s="814"/>
      <c r="N66" s="814"/>
      <c r="O66" s="814"/>
      <c r="P66" s="814"/>
      <c r="Q66" s="814"/>
      <c r="R66" s="814"/>
      <c r="S66" s="814">
        <v>0</v>
      </c>
      <c r="T66" s="814">
        <v>300000000</v>
      </c>
      <c r="U66" s="885">
        <v>300000000</v>
      </c>
      <c r="V66" s="814">
        <f t="shared" si="0"/>
        <v>0</v>
      </c>
    </row>
    <row r="67" spans="1:25" ht="18.95" customHeight="1">
      <c r="A67" s="817">
        <v>26320</v>
      </c>
      <c r="B67" s="814" t="s">
        <v>1232</v>
      </c>
      <c r="C67" s="368"/>
      <c r="D67" s="368"/>
      <c r="E67" s="368"/>
      <c r="F67" s="368"/>
      <c r="G67" s="368"/>
      <c r="H67" s="368"/>
      <c r="I67" s="368"/>
      <c r="J67" s="368"/>
      <c r="K67" s="814"/>
      <c r="L67" s="814"/>
      <c r="M67" s="814"/>
      <c r="N67" s="814"/>
      <c r="O67" s="814"/>
      <c r="P67" s="814"/>
      <c r="Q67" s="814"/>
      <c r="R67" s="814"/>
      <c r="S67" s="814">
        <v>0</v>
      </c>
      <c r="T67" s="814">
        <v>550000000</v>
      </c>
      <c r="U67" s="885">
        <v>700000000</v>
      </c>
      <c r="V67" s="814">
        <f t="shared" si="0"/>
        <v>150000000</v>
      </c>
    </row>
    <row r="68" spans="1:25" ht="18.95" customHeight="1">
      <c r="A68" s="817">
        <v>26323</v>
      </c>
      <c r="B68" s="814" t="s">
        <v>1290</v>
      </c>
      <c r="C68" s="368"/>
      <c r="D68" s="368"/>
      <c r="E68" s="368"/>
      <c r="F68" s="368"/>
      <c r="G68" s="368"/>
      <c r="H68" s="368"/>
      <c r="I68" s="368"/>
      <c r="J68" s="368"/>
      <c r="K68" s="814"/>
      <c r="L68" s="814"/>
      <c r="M68" s="814"/>
      <c r="N68" s="814"/>
      <c r="O68" s="814"/>
      <c r="P68" s="814"/>
      <c r="Q68" s="814"/>
      <c r="R68" s="814"/>
      <c r="S68" s="814">
        <v>0</v>
      </c>
      <c r="T68" s="814">
        <v>200000000</v>
      </c>
      <c r="U68" s="885">
        <v>400000000</v>
      </c>
      <c r="V68" s="814">
        <f t="shared" ref="V68:V84" si="4">U68-T68</f>
        <v>200000000</v>
      </c>
    </row>
    <row r="69" spans="1:25" ht="18.95" customHeight="1">
      <c r="A69" s="817">
        <v>26324</v>
      </c>
      <c r="B69" s="814" t="s">
        <v>1377</v>
      </c>
      <c r="C69" s="368"/>
      <c r="D69" s="368"/>
      <c r="E69" s="368"/>
      <c r="F69" s="368"/>
      <c r="G69" s="368"/>
      <c r="H69" s="368"/>
      <c r="I69" s="368"/>
      <c r="J69" s="368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85">
        <v>300000000</v>
      </c>
      <c r="V69" s="814"/>
    </row>
    <row r="70" spans="1:25" ht="18.95" customHeight="1">
      <c r="A70" s="817">
        <v>26325</v>
      </c>
      <c r="B70" s="814" t="s">
        <v>1407</v>
      </c>
      <c r="C70" s="368"/>
      <c r="D70" s="368"/>
      <c r="E70" s="368"/>
      <c r="F70" s="368"/>
      <c r="G70" s="368"/>
      <c r="H70" s="368"/>
      <c r="I70" s="368"/>
      <c r="J70" s="368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85">
        <v>1200000000</v>
      </c>
      <c r="V70" s="814"/>
    </row>
    <row r="71" spans="1:25" ht="18.95" customHeight="1">
      <c r="A71" s="817">
        <v>26326</v>
      </c>
      <c r="B71" s="814" t="s">
        <v>1414</v>
      </c>
      <c r="C71" s="368"/>
      <c r="D71" s="368"/>
      <c r="E71" s="368"/>
      <c r="F71" s="368"/>
      <c r="G71" s="368"/>
      <c r="H71" s="368"/>
      <c r="I71" s="368"/>
      <c r="J71" s="368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85">
        <v>300000000</v>
      </c>
      <c r="V71" s="814"/>
    </row>
    <row r="72" spans="1:25" ht="18.95" customHeight="1">
      <c r="A72" s="817"/>
      <c r="B72" s="368" t="s">
        <v>92</v>
      </c>
      <c r="C72" s="814"/>
      <c r="D72" s="814"/>
      <c r="E72" s="814"/>
      <c r="F72" s="814"/>
      <c r="G72" s="814"/>
      <c r="H72" s="814"/>
      <c r="I72" s="814"/>
      <c r="J72" s="368">
        <f>SUM(J59)</f>
        <v>0</v>
      </c>
      <c r="K72" s="368">
        <f>SUM(K59)</f>
        <v>0</v>
      </c>
      <c r="L72" s="368">
        <f>SUM(L59)</f>
        <v>1000000000</v>
      </c>
      <c r="M72" s="368">
        <f>SUM(M59)</f>
        <v>1000000000</v>
      </c>
      <c r="N72" s="368">
        <f>SUM(N59:N60)</f>
        <v>1460000000</v>
      </c>
      <c r="O72" s="368"/>
      <c r="P72" s="368">
        <f>SUM(P59:P60)</f>
        <v>950000000</v>
      </c>
      <c r="Q72" s="368">
        <f>SUM(Q59:Q62)</f>
        <v>1680000000</v>
      </c>
      <c r="R72" s="368">
        <f>SUM(R59:R62)</f>
        <v>3628000000</v>
      </c>
      <c r="S72" s="368">
        <f>SUM(S59:S68)</f>
        <v>7992000000</v>
      </c>
      <c r="T72" s="368">
        <f>SUM(T59:T68)</f>
        <v>13390000000</v>
      </c>
      <c r="U72" s="374">
        <f>SUM(U59:U71)</f>
        <v>13588000000</v>
      </c>
      <c r="V72" s="368">
        <f t="shared" si="4"/>
        <v>198000000</v>
      </c>
    </row>
    <row r="73" spans="1:25" ht="18.95" customHeight="1">
      <c r="A73" s="818">
        <v>2650</v>
      </c>
      <c r="B73" s="368" t="s">
        <v>1258</v>
      </c>
      <c r="C73" s="814"/>
      <c r="D73" s="814"/>
      <c r="E73" s="814"/>
      <c r="F73" s="814"/>
      <c r="G73" s="814"/>
      <c r="H73" s="814"/>
      <c r="I73" s="814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74"/>
      <c r="V73" s="814">
        <f t="shared" si="4"/>
        <v>0</v>
      </c>
    </row>
    <row r="74" spans="1:25" ht="18.95" customHeight="1">
      <c r="A74" s="817">
        <v>26501</v>
      </c>
      <c r="B74" s="814" t="s">
        <v>857</v>
      </c>
      <c r="C74" s="814"/>
      <c r="D74" s="814"/>
      <c r="E74" s="814"/>
      <c r="F74" s="814"/>
      <c r="G74" s="814"/>
      <c r="H74" s="814"/>
      <c r="I74" s="814"/>
      <c r="J74" s="368"/>
      <c r="K74" s="368"/>
      <c r="L74" s="368"/>
      <c r="M74" s="368"/>
      <c r="N74" s="368"/>
      <c r="O74" s="368"/>
      <c r="P74" s="814">
        <v>0</v>
      </c>
      <c r="Q74" s="814">
        <v>24000000000</v>
      </c>
      <c r="R74" s="814">
        <v>24000000000</v>
      </c>
      <c r="S74" s="814">
        <v>25842000000</v>
      </c>
      <c r="T74" s="814">
        <v>24000000000</v>
      </c>
      <c r="U74" s="885">
        <v>24000000000</v>
      </c>
      <c r="V74" s="814">
        <f t="shared" si="4"/>
        <v>0</v>
      </c>
    </row>
    <row r="75" spans="1:25" ht="18.95" customHeight="1">
      <c r="A75" s="817">
        <v>26503</v>
      </c>
      <c r="B75" s="814" t="s">
        <v>858</v>
      </c>
      <c r="C75" s="814"/>
      <c r="D75" s="814"/>
      <c r="E75" s="814"/>
      <c r="F75" s="814"/>
      <c r="G75" s="814"/>
      <c r="H75" s="814"/>
      <c r="I75" s="814"/>
      <c r="J75" s="368"/>
      <c r="K75" s="368"/>
      <c r="L75" s="368"/>
      <c r="M75" s="368"/>
      <c r="N75" s="368"/>
      <c r="O75" s="368"/>
      <c r="P75" s="814">
        <v>0</v>
      </c>
      <c r="Q75" s="814">
        <v>8000000000</v>
      </c>
      <c r="R75" s="814">
        <v>8500000000</v>
      </c>
      <c r="S75" s="814">
        <v>12000000000</v>
      </c>
      <c r="T75" s="814">
        <v>12000000000</v>
      </c>
      <c r="U75" s="885">
        <v>18000000000</v>
      </c>
      <c r="V75" s="814">
        <f t="shared" si="4"/>
        <v>6000000000</v>
      </c>
    </row>
    <row r="76" spans="1:25" ht="18.95" customHeight="1">
      <c r="A76" s="817">
        <v>26502</v>
      </c>
      <c r="B76" s="814" t="s">
        <v>877</v>
      </c>
      <c r="C76" s="814"/>
      <c r="D76" s="814"/>
      <c r="E76" s="814"/>
      <c r="F76" s="814"/>
      <c r="G76" s="814"/>
      <c r="H76" s="814"/>
      <c r="I76" s="814"/>
      <c r="J76" s="368"/>
      <c r="K76" s="368"/>
      <c r="L76" s="368"/>
      <c r="M76" s="368"/>
      <c r="N76" s="368"/>
      <c r="O76" s="368"/>
      <c r="P76" s="814"/>
      <c r="Q76" s="814">
        <v>0</v>
      </c>
      <c r="R76" s="814">
        <v>1036800000</v>
      </c>
      <c r="S76" s="814">
        <v>1036800000</v>
      </c>
      <c r="T76" s="814">
        <v>1734942000</v>
      </c>
      <c r="U76" s="885">
        <v>2734942000</v>
      </c>
      <c r="V76" s="814">
        <f t="shared" si="4"/>
        <v>1000000000</v>
      </c>
    </row>
    <row r="77" spans="1:25" ht="18.95" customHeight="1">
      <c r="A77" s="818"/>
      <c r="B77" s="368" t="s">
        <v>92</v>
      </c>
      <c r="C77" s="814"/>
      <c r="D77" s="814"/>
      <c r="E77" s="814"/>
      <c r="F77" s="814"/>
      <c r="G77" s="814"/>
      <c r="H77" s="814"/>
      <c r="I77" s="814"/>
      <c r="J77" s="368"/>
      <c r="K77" s="368"/>
      <c r="L77" s="368"/>
      <c r="M77" s="368"/>
      <c r="N77" s="368"/>
      <c r="O77" s="368"/>
      <c r="P77" s="368"/>
      <c r="Q77" s="368"/>
      <c r="R77" s="368">
        <f>SUM(R74:R76)</f>
        <v>33536800000</v>
      </c>
      <c r="S77" s="368">
        <f>SUM(S74:S76)</f>
        <v>38878800000</v>
      </c>
      <c r="T77" s="368">
        <f>SUM(T74:T76)</f>
        <v>37734942000</v>
      </c>
      <c r="U77" s="374">
        <f>SUM(U74:U76)</f>
        <v>44734942000</v>
      </c>
      <c r="V77" s="814">
        <f t="shared" si="4"/>
        <v>7000000000</v>
      </c>
    </row>
    <row r="78" spans="1:25" ht="18.95" customHeight="1">
      <c r="A78" s="818">
        <v>2660</v>
      </c>
      <c r="B78" s="824" t="s">
        <v>1291</v>
      </c>
      <c r="C78" s="814"/>
      <c r="D78" s="814"/>
      <c r="E78" s="814"/>
      <c r="F78" s="814"/>
      <c r="G78" s="814"/>
      <c r="H78" s="814"/>
      <c r="I78" s="814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74"/>
      <c r="V78" s="814">
        <f t="shared" si="4"/>
        <v>0</v>
      </c>
    </row>
    <row r="79" spans="1:25" ht="18.95" customHeight="1">
      <c r="A79" s="817">
        <v>26601</v>
      </c>
      <c r="B79" s="814" t="s">
        <v>916</v>
      </c>
      <c r="C79" s="814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>
        <v>0</v>
      </c>
      <c r="T79" s="814">
        <v>8144986360</v>
      </c>
      <c r="U79" s="885">
        <v>12000000000</v>
      </c>
      <c r="V79" s="814">
        <f t="shared" si="4"/>
        <v>3855013640</v>
      </c>
      <c r="X79" s="745"/>
      <c r="Y79" s="745"/>
    </row>
    <row r="80" spans="1:25" s="760" customFormat="1" ht="18.95" customHeight="1">
      <c r="A80" s="818"/>
      <c r="B80" s="368" t="s">
        <v>92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>
        <f>SUM(S79)</f>
        <v>0</v>
      </c>
      <c r="T80" s="368">
        <f t="shared" ref="T80:U80" si="5">SUM(T79)</f>
        <v>8144986360</v>
      </c>
      <c r="U80" s="374">
        <f t="shared" si="5"/>
        <v>12000000000</v>
      </c>
      <c r="V80" s="814">
        <f t="shared" si="4"/>
        <v>3855013640</v>
      </c>
    </row>
    <row r="81" spans="1:22" ht="18.95" customHeight="1">
      <c r="A81" s="818">
        <v>2810</v>
      </c>
      <c r="B81" s="825" t="s">
        <v>1242</v>
      </c>
      <c r="C81" s="814"/>
      <c r="D81" s="814"/>
      <c r="E81" s="814"/>
      <c r="F81" s="814"/>
      <c r="G81" s="814"/>
      <c r="H81" s="814"/>
      <c r="I81" s="814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74"/>
      <c r="V81" s="814">
        <f t="shared" si="4"/>
        <v>0</v>
      </c>
    </row>
    <row r="82" spans="1:22" ht="18.95" customHeight="1">
      <c r="A82" s="817">
        <v>28102</v>
      </c>
      <c r="B82" s="814" t="s">
        <v>1244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>
        <v>12488257180</v>
      </c>
      <c r="T82" s="814">
        <v>9919200000</v>
      </c>
      <c r="U82" s="885">
        <v>13000000000</v>
      </c>
      <c r="V82" s="814">
        <f t="shared" si="4"/>
        <v>3080800000</v>
      </c>
    </row>
    <row r="83" spans="1:22" ht="18.95" customHeight="1">
      <c r="A83" s="818"/>
      <c r="B83" s="368" t="s">
        <v>92</v>
      </c>
      <c r="C83" s="814"/>
      <c r="D83" s="814"/>
      <c r="E83" s="814"/>
      <c r="F83" s="814"/>
      <c r="G83" s="814"/>
      <c r="H83" s="814"/>
      <c r="I83" s="814"/>
      <c r="J83" s="368"/>
      <c r="K83" s="368"/>
      <c r="L83" s="368"/>
      <c r="M83" s="368"/>
      <c r="N83" s="368"/>
      <c r="O83" s="368"/>
      <c r="P83" s="368"/>
      <c r="Q83" s="368"/>
      <c r="R83" s="368"/>
      <c r="S83" s="368">
        <f>SUM(S82)</f>
        <v>12488257180</v>
      </c>
      <c r="T83" s="368">
        <f>SUM(T82)</f>
        <v>9919200000</v>
      </c>
      <c r="U83" s="374">
        <f>SUM(U82)</f>
        <v>13000000000</v>
      </c>
      <c r="V83" s="814">
        <f t="shared" si="4"/>
        <v>3080800000</v>
      </c>
    </row>
    <row r="84" spans="1:22" ht="18.95" customHeight="1">
      <c r="A84" s="815"/>
      <c r="B84" s="376" t="s">
        <v>95</v>
      </c>
      <c r="C84" s="376"/>
      <c r="D84" s="376"/>
      <c r="E84" s="376"/>
      <c r="F84" s="368">
        <v>6556984977</v>
      </c>
      <c r="G84" s="368"/>
      <c r="H84" s="368"/>
      <c r="I84" s="368"/>
      <c r="J84" s="368"/>
      <c r="K84" s="368"/>
      <c r="L84" s="368" t="e">
        <f>L72+#REF!+#REF!+#REF!+L37+L29+#REF!</f>
        <v>#REF!</v>
      </c>
      <c r="M84" s="368" t="e">
        <f>M72+#REF!+#REF!+#REF!+M37+M29+#REF!</f>
        <v>#REF!</v>
      </c>
      <c r="N84" s="368" t="e">
        <f>N72+#REF!+#REF!+#REF!+N37+N29+#REF!+#REF!</f>
        <v>#REF!</v>
      </c>
      <c r="O84" s="368"/>
      <c r="P84" s="368" t="e">
        <f>#REF!+P72+P37+P29+P53+P44</f>
        <v>#REF!</v>
      </c>
      <c r="Q84" s="368" t="e">
        <f>Q72+Q37+Q29+Q53+Q44+#REF!</f>
        <v>#REF!</v>
      </c>
      <c r="R84" s="368">
        <f>R77+R72+R53+R44+R37+R29+R5</f>
        <v>109212823160</v>
      </c>
      <c r="S84" s="368">
        <f>S77+S72+S53+S44+S37+S29+S5+S9+S83+S57</f>
        <v>197292076646</v>
      </c>
      <c r="T84" s="368">
        <f>T77+T72+T53+T44+T37+T29+T5+T9+T83+T80+T57</f>
        <v>259409942864</v>
      </c>
      <c r="U84" s="374">
        <f>U77+U72+U53+U44+U37+U29+U5+U9+U83+U80+U57</f>
        <v>358603761931</v>
      </c>
      <c r="V84" s="846">
        <f t="shared" si="4"/>
        <v>99193819067</v>
      </c>
    </row>
  </sheetData>
  <pageMargins left="0.7" right="0.7" top="1.18" bottom="0.75" header="0.3" footer="0.3"/>
  <pageSetup scale="40" orientation="portrait" r:id="rId1"/>
  <headerFooter>
    <oddHeader>&amp;C&amp;"Algerian,Bold"&amp;48KHASNADA GUUD EE QARANKA</oddHeader>
    <oddFooter>&amp;R&amp;"Times New Roman,Bold"&amp;18 32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A2438"/>
  <sheetViews>
    <sheetView view="pageBreakPreview" topLeftCell="A28" zoomScale="60" zoomScaleNormal="60" zoomScalePageLayoutView="70" workbookViewId="0">
      <selection activeCell="S43" sqref="S43"/>
    </sheetView>
  </sheetViews>
  <sheetFormatPr defaultRowHeight="30.95" customHeight="1"/>
  <cols>
    <col min="1" max="1" width="17.33203125" style="584" bestFit="1" customWidth="1"/>
    <col min="2" max="2" width="80.83203125" style="528" customWidth="1"/>
    <col min="3" max="3" width="20" style="528" hidden="1" customWidth="1"/>
    <col min="4" max="4" width="19.5" style="528" hidden="1" customWidth="1"/>
    <col min="5" max="5" width="18" style="528" hidden="1" customWidth="1"/>
    <col min="6" max="7" width="19.5" style="528" hidden="1" customWidth="1"/>
    <col min="8" max="8" width="0.6640625" style="528" hidden="1" customWidth="1"/>
    <col min="9" max="9" width="19.5" style="528" hidden="1" customWidth="1"/>
    <col min="10" max="10" width="21" style="528" hidden="1" customWidth="1"/>
    <col min="11" max="11" width="2.33203125" style="528" hidden="1" customWidth="1"/>
    <col min="12" max="12" width="23.1640625" style="528" hidden="1" customWidth="1"/>
    <col min="13" max="13" width="25.1640625" style="528" hidden="1" customWidth="1"/>
    <col min="14" max="14" width="27.6640625" style="528" hidden="1" customWidth="1"/>
    <col min="15" max="15" width="0.1640625" style="528" hidden="1" customWidth="1"/>
    <col min="16" max="16" width="29.5" style="498" hidden="1" customWidth="1"/>
    <col min="17" max="17" width="0.33203125" style="498" customWidth="1"/>
    <col min="18" max="20" width="29" style="498" customWidth="1"/>
    <col min="21" max="21" width="18" style="528" customWidth="1"/>
    <col min="22" max="22" width="17.33203125" style="528" customWidth="1"/>
    <col min="23" max="16384" width="9.33203125" style="528"/>
  </cols>
  <sheetData>
    <row r="1" spans="1:261" ht="30.95" customHeight="1">
      <c r="A1" s="544" t="s">
        <v>40</v>
      </c>
      <c r="B1" s="545" t="s">
        <v>1006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280"/>
      <c r="Q1" s="280"/>
      <c r="R1" s="280"/>
      <c r="S1" s="280"/>
      <c r="T1" s="280"/>
    </row>
    <row r="2" spans="1:261" ht="30.95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115</v>
      </c>
      <c r="L2" s="482" t="s">
        <v>151</v>
      </c>
      <c r="M2" s="482" t="s">
        <v>257</v>
      </c>
      <c r="N2" s="482" t="s">
        <v>440</v>
      </c>
      <c r="O2" s="482" t="s">
        <v>814</v>
      </c>
      <c r="P2" s="482" t="s">
        <v>874</v>
      </c>
      <c r="Q2" s="482" t="s">
        <v>973</v>
      </c>
      <c r="R2" s="482" t="s">
        <v>1160</v>
      </c>
      <c r="S2" s="482" t="s">
        <v>1320</v>
      </c>
      <c r="T2" s="482" t="s">
        <v>56</v>
      </c>
    </row>
    <row r="3" spans="1:261" ht="30.95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61" ht="30.95" customHeight="1">
      <c r="A4" s="392">
        <v>21101</v>
      </c>
      <c r="B4" s="246" t="s">
        <v>28</v>
      </c>
      <c r="C4" s="292"/>
      <c r="D4" s="292"/>
      <c r="E4" s="292"/>
      <c r="F4" s="292"/>
      <c r="G4" s="292"/>
      <c r="H4" s="292"/>
      <c r="I4" s="290">
        <v>321389200</v>
      </c>
      <c r="J4" s="582">
        <f>348925200+54000000+6000000</f>
        <v>408925200</v>
      </c>
      <c r="K4" s="582">
        <f>408925200+12000000+4149600+936000-936000+1887600</f>
        <v>426962400</v>
      </c>
      <c r="L4" s="582">
        <v>731890800</v>
      </c>
      <c r="M4" s="582">
        <f>shaqaalaha2011!H30+36000000+64740000</f>
        <v>1238292000</v>
      </c>
      <c r="N4" s="582">
        <v>1285471200</v>
      </c>
      <c r="O4" s="582">
        <v>1027322400</v>
      </c>
      <c r="P4" s="582">
        <v>1403363520</v>
      </c>
      <c r="Q4" s="582">
        <v>1658779200</v>
      </c>
      <c r="R4" s="485">
        <v>1858409280</v>
      </c>
      <c r="S4" s="485">
        <v>2454360480</v>
      </c>
      <c r="T4" s="249">
        <f>S4-R4</f>
        <v>595951200</v>
      </c>
    </row>
    <row r="5" spans="1:261" ht="30.95" customHeight="1">
      <c r="A5" s="392">
        <v>21102</v>
      </c>
      <c r="B5" s="246" t="s">
        <v>29</v>
      </c>
      <c r="C5" s="246">
        <v>7553000</v>
      </c>
      <c r="D5" s="246">
        <v>0</v>
      </c>
      <c r="E5" s="246">
        <v>0</v>
      </c>
      <c r="F5" s="246">
        <v>45000000</v>
      </c>
      <c r="G5" s="246">
        <f>F5</f>
        <v>45000000</v>
      </c>
      <c r="H5" s="246">
        <v>45000000</v>
      </c>
      <c r="I5" s="246">
        <v>0</v>
      </c>
      <c r="J5" s="249">
        <v>0</v>
      </c>
      <c r="K5" s="249">
        <v>0</v>
      </c>
      <c r="L5" s="249">
        <v>45000000</v>
      </c>
      <c r="M5" s="249">
        <f>L5*200%</f>
        <v>90000000</v>
      </c>
      <c r="N5" s="249">
        <v>187200000</v>
      </c>
      <c r="O5" s="249">
        <v>97200000</v>
      </c>
      <c r="P5" s="249">
        <v>194400000</v>
      </c>
      <c r="Q5" s="249">
        <v>194400000</v>
      </c>
      <c r="R5" s="249">
        <v>194400000</v>
      </c>
      <c r="S5" s="848">
        <v>291600000</v>
      </c>
      <c r="T5" s="249">
        <f t="shared" ref="T5:T43" si="0">S5-R5</f>
        <v>97200000</v>
      </c>
      <c r="U5" s="583"/>
      <c r="V5" s="519"/>
      <c r="W5" s="519"/>
      <c r="X5" s="498"/>
      <c r="Y5" s="498"/>
      <c r="Z5" s="552"/>
      <c r="AA5" s="583"/>
      <c r="AB5" s="583"/>
      <c r="AC5" s="519"/>
      <c r="AD5" s="519"/>
      <c r="AE5" s="498"/>
      <c r="AF5" s="498"/>
      <c r="AG5" s="552"/>
      <c r="AH5" s="583"/>
      <c r="AI5" s="583"/>
      <c r="AJ5" s="519"/>
      <c r="AK5" s="519"/>
      <c r="AL5" s="498"/>
      <c r="AM5" s="498"/>
      <c r="AN5" s="552"/>
      <c r="AO5" s="583"/>
      <c r="AP5" s="583"/>
      <c r="AQ5" s="519"/>
      <c r="AR5" s="519"/>
      <c r="AS5" s="498"/>
      <c r="AT5" s="498"/>
      <c r="AU5" s="552"/>
      <c r="AV5" s="583"/>
      <c r="AW5" s="583"/>
      <c r="AX5" s="519"/>
      <c r="AY5" s="519"/>
      <c r="AZ5" s="498"/>
      <c r="BA5" s="498"/>
      <c r="BB5" s="552"/>
      <c r="BC5" s="583"/>
      <c r="BD5" s="583"/>
      <c r="BE5" s="519"/>
      <c r="BF5" s="519"/>
      <c r="BG5" s="498"/>
      <c r="BH5" s="498"/>
      <c r="BI5" s="552"/>
      <c r="BJ5" s="583"/>
      <c r="BK5" s="583"/>
      <c r="BL5" s="519"/>
      <c r="BM5" s="519"/>
      <c r="BN5" s="498"/>
      <c r="BO5" s="498"/>
      <c r="BP5" s="552"/>
      <c r="BQ5" s="583"/>
      <c r="BR5" s="583"/>
      <c r="BS5" s="519"/>
      <c r="BT5" s="519"/>
      <c r="BU5" s="498"/>
      <c r="BV5" s="498"/>
      <c r="BW5" s="552"/>
      <c r="BX5" s="583"/>
      <c r="BY5" s="583"/>
      <c r="BZ5" s="519"/>
      <c r="CA5" s="519"/>
      <c r="CB5" s="498"/>
      <c r="CC5" s="498"/>
      <c r="CD5" s="552"/>
      <c r="CE5" s="583"/>
      <c r="CF5" s="583"/>
      <c r="CG5" s="519"/>
      <c r="CH5" s="519"/>
      <c r="CI5" s="498"/>
      <c r="CJ5" s="498"/>
      <c r="CK5" s="552"/>
      <c r="CL5" s="583"/>
      <c r="CM5" s="583"/>
      <c r="CN5" s="519"/>
      <c r="CO5" s="519"/>
      <c r="CP5" s="498"/>
      <c r="CQ5" s="498"/>
      <c r="CR5" s="552"/>
      <c r="CS5" s="583"/>
      <c r="CT5" s="583"/>
      <c r="CU5" s="519"/>
      <c r="CV5" s="519"/>
      <c r="CW5" s="498"/>
      <c r="CX5" s="498"/>
      <c r="CY5" s="552"/>
      <c r="CZ5" s="583"/>
      <c r="DA5" s="583"/>
      <c r="DB5" s="519"/>
      <c r="DC5" s="519"/>
      <c r="DD5" s="498"/>
      <c r="DE5" s="498"/>
      <c r="DF5" s="552"/>
      <c r="DG5" s="583"/>
      <c r="DH5" s="583"/>
      <c r="DI5" s="519"/>
      <c r="DJ5" s="519"/>
      <c r="DK5" s="498"/>
      <c r="DL5" s="498"/>
      <c r="DM5" s="552"/>
      <c r="DN5" s="583"/>
      <c r="DO5" s="583"/>
      <c r="DP5" s="519"/>
      <c r="DQ5" s="519"/>
      <c r="DR5" s="498"/>
      <c r="DS5" s="498"/>
      <c r="DT5" s="552"/>
      <c r="DU5" s="583"/>
      <c r="DV5" s="583"/>
      <c r="DW5" s="519"/>
      <c r="DX5" s="519"/>
      <c r="DY5" s="498"/>
      <c r="DZ5" s="498"/>
      <c r="EA5" s="552"/>
      <c r="EB5" s="583"/>
      <c r="EC5" s="583"/>
      <c r="ED5" s="519"/>
      <c r="EE5" s="519"/>
      <c r="EF5" s="498"/>
      <c r="EG5" s="498"/>
      <c r="EH5" s="552"/>
      <c r="EI5" s="583"/>
      <c r="EJ5" s="583"/>
      <c r="EK5" s="519"/>
      <c r="EL5" s="519"/>
      <c r="EM5" s="498"/>
      <c r="EN5" s="498"/>
      <c r="EO5" s="552"/>
      <c r="EP5" s="583"/>
      <c r="EQ5" s="583"/>
      <c r="ER5" s="519"/>
      <c r="ES5" s="519"/>
      <c r="ET5" s="498"/>
      <c r="EU5" s="498"/>
      <c r="EV5" s="552"/>
      <c r="EW5" s="583"/>
      <c r="EX5" s="583"/>
      <c r="EY5" s="519"/>
      <c r="EZ5" s="519"/>
      <c r="FA5" s="498"/>
      <c r="FB5" s="498"/>
      <c r="FC5" s="552"/>
      <c r="FD5" s="583"/>
      <c r="FE5" s="583"/>
      <c r="FF5" s="519"/>
      <c r="FG5" s="519"/>
      <c r="FH5" s="498"/>
      <c r="FI5" s="498"/>
      <c r="FJ5" s="552"/>
      <c r="FK5" s="583"/>
      <c r="FL5" s="583"/>
      <c r="FM5" s="519"/>
      <c r="FN5" s="519"/>
      <c r="FO5" s="498"/>
      <c r="FP5" s="498"/>
      <c r="FQ5" s="552"/>
      <c r="FR5" s="583"/>
      <c r="FS5" s="583"/>
      <c r="FT5" s="519"/>
      <c r="FU5" s="519"/>
      <c r="FV5" s="498"/>
      <c r="FW5" s="498"/>
      <c r="FX5" s="552"/>
      <c r="FY5" s="583"/>
      <c r="FZ5" s="583"/>
      <c r="GA5" s="519"/>
      <c r="GB5" s="519"/>
      <c r="GC5" s="498"/>
      <c r="GD5" s="498"/>
      <c r="GE5" s="552"/>
      <c r="GF5" s="583"/>
      <c r="GG5" s="583"/>
      <c r="GH5" s="519"/>
      <c r="GI5" s="519"/>
      <c r="GJ5" s="498"/>
      <c r="GK5" s="498"/>
      <c r="GL5" s="552"/>
      <c r="GM5" s="583"/>
      <c r="GN5" s="583"/>
      <c r="GO5" s="519"/>
      <c r="GP5" s="519"/>
      <c r="GQ5" s="498"/>
      <c r="GR5" s="498"/>
      <c r="GS5" s="552"/>
      <c r="GT5" s="583"/>
      <c r="GU5" s="583"/>
      <c r="GV5" s="519"/>
      <c r="GW5" s="519"/>
      <c r="GX5" s="498"/>
      <c r="GY5" s="498"/>
      <c r="GZ5" s="552"/>
      <c r="HA5" s="583"/>
      <c r="HB5" s="583"/>
      <c r="HC5" s="519"/>
      <c r="HD5" s="519"/>
      <c r="HE5" s="498"/>
      <c r="HF5" s="498"/>
      <c r="HG5" s="552"/>
      <c r="HH5" s="583"/>
      <c r="HI5" s="583"/>
      <c r="HJ5" s="519"/>
      <c r="HK5" s="519"/>
      <c r="HL5" s="498"/>
      <c r="HM5" s="498"/>
      <c r="HN5" s="552"/>
      <c r="HO5" s="583"/>
      <c r="HP5" s="583"/>
      <c r="HQ5" s="519"/>
      <c r="HR5" s="519"/>
      <c r="HS5" s="498"/>
      <c r="HT5" s="498"/>
      <c r="HU5" s="552"/>
      <c r="HV5" s="583"/>
      <c r="HW5" s="583"/>
      <c r="HX5" s="519"/>
      <c r="HY5" s="519"/>
      <c r="HZ5" s="498"/>
      <c r="IA5" s="498"/>
      <c r="IB5" s="552"/>
      <c r="IC5" s="583"/>
      <c r="ID5" s="583"/>
      <c r="IE5" s="519"/>
      <c r="IF5" s="519"/>
      <c r="IG5" s="498"/>
      <c r="IH5" s="498"/>
      <c r="II5" s="552"/>
      <c r="IJ5" s="583"/>
      <c r="IK5" s="583"/>
      <c r="IL5" s="519"/>
      <c r="IM5" s="519"/>
      <c r="IN5" s="498"/>
      <c r="IO5" s="498"/>
      <c r="IP5" s="552"/>
      <c r="IQ5" s="583"/>
      <c r="IR5" s="583"/>
      <c r="IS5" s="519"/>
      <c r="IT5" s="519"/>
      <c r="IU5" s="498"/>
      <c r="IV5" s="498"/>
      <c r="IW5" s="552"/>
      <c r="IX5" s="583"/>
      <c r="IY5" s="583"/>
      <c r="IZ5" s="519"/>
      <c r="JA5" s="519"/>
    </row>
    <row r="6" spans="1:261" ht="30.95" customHeight="1">
      <c r="A6" s="392">
        <v>21103</v>
      </c>
      <c r="B6" s="246" t="s">
        <v>30</v>
      </c>
      <c r="C6" s="246">
        <v>8400000</v>
      </c>
      <c r="D6" s="246">
        <v>10800000</v>
      </c>
      <c r="E6" s="246">
        <v>10800000</v>
      </c>
      <c r="F6" s="246">
        <v>21600000</v>
      </c>
      <c r="G6" s="246">
        <v>33288000</v>
      </c>
      <c r="H6" s="246">
        <v>33288000</v>
      </c>
      <c r="I6" s="246">
        <v>32400000</v>
      </c>
      <c r="J6" s="249">
        <f>30888000+32400000+1440000</f>
        <v>64728000</v>
      </c>
      <c r="K6" s="249">
        <f>64728000+1440000+7920000</f>
        <v>74088000</v>
      </c>
      <c r="L6" s="249">
        <v>166968000</v>
      </c>
      <c r="M6" s="249">
        <v>166968000</v>
      </c>
      <c r="N6" s="249">
        <v>231768000</v>
      </c>
      <c r="O6" s="249">
        <v>153314400</v>
      </c>
      <c r="P6" s="249">
        <v>318914400</v>
      </c>
      <c r="Q6" s="249">
        <v>306000000</v>
      </c>
      <c r="R6" s="249">
        <v>306000000</v>
      </c>
      <c r="S6" s="848">
        <v>396000000</v>
      </c>
      <c r="T6" s="249">
        <f t="shared" si="0"/>
        <v>90000000</v>
      </c>
      <c r="U6" s="583"/>
      <c r="V6" s="519"/>
      <c r="W6" s="519"/>
      <c r="X6" s="498"/>
      <c r="Y6" s="498"/>
      <c r="Z6" s="552"/>
      <c r="AA6" s="583"/>
      <c r="AB6" s="583"/>
      <c r="AC6" s="519"/>
      <c r="AD6" s="519"/>
      <c r="AE6" s="498"/>
      <c r="AF6" s="498"/>
      <c r="AG6" s="552"/>
      <c r="AH6" s="583"/>
      <c r="AI6" s="583"/>
      <c r="AJ6" s="519"/>
      <c r="AK6" s="519"/>
      <c r="AL6" s="498"/>
      <c r="AM6" s="498"/>
      <c r="AN6" s="552"/>
      <c r="AO6" s="583"/>
      <c r="AP6" s="583"/>
      <c r="AQ6" s="519"/>
      <c r="AR6" s="519"/>
      <c r="AS6" s="498"/>
      <c r="AT6" s="498"/>
      <c r="AU6" s="552"/>
      <c r="AV6" s="583"/>
      <c r="AW6" s="583"/>
      <c r="AX6" s="519"/>
      <c r="AY6" s="519"/>
      <c r="AZ6" s="498"/>
      <c r="BA6" s="498"/>
      <c r="BB6" s="552"/>
      <c r="BC6" s="583"/>
      <c r="BD6" s="583"/>
      <c r="BE6" s="519"/>
      <c r="BF6" s="519"/>
      <c r="BG6" s="498"/>
      <c r="BH6" s="498"/>
      <c r="BI6" s="552"/>
      <c r="BJ6" s="583"/>
      <c r="BK6" s="583"/>
      <c r="BL6" s="519"/>
      <c r="BM6" s="519"/>
      <c r="BN6" s="498"/>
      <c r="BO6" s="498"/>
      <c r="BP6" s="552"/>
      <c r="BQ6" s="583"/>
      <c r="BR6" s="583"/>
      <c r="BS6" s="519"/>
      <c r="BT6" s="519"/>
      <c r="BU6" s="498"/>
      <c r="BV6" s="498"/>
      <c r="BW6" s="552"/>
      <c r="BX6" s="583"/>
      <c r="BY6" s="583"/>
      <c r="BZ6" s="519"/>
      <c r="CA6" s="519"/>
      <c r="CB6" s="498"/>
      <c r="CC6" s="498"/>
      <c r="CD6" s="552"/>
      <c r="CE6" s="583"/>
      <c r="CF6" s="583"/>
      <c r="CG6" s="519"/>
      <c r="CH6" s="519"/>
      <c r="CI6" s="498"/>
      <c r="CJ6" s="498"/>
      <c r="CK6" s="552"/>
      <c r="CL6" s="583"/>
      <c r="CM6" s="583"/>
      <c r="CN6" s="519"/>
      <c r="CO6" s="519"/>
      <c r="CP6" s="498"/>
      <c r="CQ6" s="498"/>
      <c r="CR6" s="552"/>
      <c r="CS6" s="583"/>
      <c r="CT6" s="583"/>
      <c r="CU6" s="519"/>
      <c r="CV6" s="519"/>
      <c r="CW6" s="498"/>
      <c r="CX6" s="498"/>
      <c r="CY6" s="552"/>
      <c r="CZ6" s="583"/>
      <c r="DA6" s="583"/>
      <c r="DB6" s="519"/>
      <c r="DC6" s="519"/>
      <c r="DD6" s="498"/>
      <c r="DE6" s="498"/>
      <c r="DF6" s="552"/>
      <c r="DG6" s="583"/>
      <c r="DH6" s="583"/>
      <c r="DI6" s="519"/>
      <c r="DJ6" s="519"/>
      <c r="DK6" s="498"/>
      <c r="DL6" s="498"/>
      <c r="DM6" s="552"/>
      <c r="DN6" s="583"/>
      <c r="DO6" s="583"/>
      <c r="DP6" s="519"/>
      <c r="DQ6" s="519"/>
      <c r="DR6" s="498"/>
      <c r="DS6" s="498"/>
      <c r="DT6" s="552"/>
      <c r="DU6" s="583"/>
      <c r="DV6" s="583"/>
      <c r="DW6" s="519"/>
      <c r="DX6" s="519"/>
      <c r="DY6" s="498"/>
      <c r="DZ6" s="498"/>
      <c r="EA6" s="552"/>
      <c r="EB6" s="583"/>
      <c r="EC6" s="583"/>
      <c r="ED6" s="519"/>
      <c r="EE6" s="519"/>
      <c r="EF6" s="498"/>
      <c r="EG6" s="498"/>
      <c r="EH6" s="552"/>
      <c r="EI6" s="583"/>
      <c r="EJ6" s="583"/>
      <c r="EK6" s="519"/>
      <c r="EL6" s="519"/>
      <c r="EM6" s="498"/>
      <c r="EN6" s="498"/>
      <c r="EO6" s="552"/>
      <c r="EP6" s="583"/>
      <c r="EQ6" s="583"/>
      <c r="ER6" s="519"/>
      <c r="ES6" s="519"/>
      <c r="ET6" s="498"/>
      <c r="EU6" s="498"/>
      <c r="EV6" s="552"/>
      <c r="EW6" s="583"/>
      <c r="EX6" s="583"/>
      <c r="EY6" s="519"/>
      <c r="EZ6" s="519"/>
      <c r="FA6" s="498"/>
      <c r="FB6" s="498"/>
      <c r="FC6" s="552"/>
      <c r="FD6" s="583"/>
      <c r="FE6" s="583"/>
      <c r="FF6" s="519"/>
      <c r="FG6" s="519"/>
      <c r="FH6" s="498"/>
      <c r="FI6" s="498"/>
      <c r="FJ6" s="552"/>
      <c r="FK6" s="583"/>
      <c r="FL6" s="583"/>
      <c r="FM6" s="519"/>
      <c r="FN6" s="519"/>
      <c r="FO6" s="498"/>
      <c r="FP6" s="498"/>
      <c r="FQ6" s="552"/>
      <c r="FR6" s="583"/>
      <c r="FS6" s="583"/>
      <c r="FT6" s="519"/>
      <c r="FU6" s="519"/>
      <c r="FV6" s="498"/>
      <c r="FW6" s="498"/>
      <c r="FX6" s="552"/>
      <c r="FY6" s="583"/>
      <c r="FZ6" s="583"/>
      <c r="GA6" s="519"/>
      <c r="GB6" s="519"/>
      <c r="GC6" s="498"/>
      <c r="GD6" s="498"/>
      <c r="GE6" s="552"/>
      <c r="GF6" s="583"/>
      <c r="GG6" s="583"/>
      <c r="GH6" s="519"/>
      <c r="GI6" s="519"/>
      <c r="GJ6" s="498"/>
      <c r="GK6" s="498"/>
      <c r="GL6" s="552"/>
      <c r="GM6" s="583"/>
      <c r="GN6" s="583"/>
      <c r="GO6" s="519"/>
      <c r="GP6" s="519"/>
      <c r="GQ6" s="498"/>
      <c r="GR6" s="498"/>
      <c r="GS6" s="552"/>
      <c r="GT6" s="583"/>
      <c r="GU6" s="583"/>
      <c r="GV6" s="519"/>
      <c r="GW6" s="519"/>
      <c r="GX6" s="498"/>
      <c r="GY6" s="498"/>
      <c r="GZ6" s="552"/>
      <c r="HA6" s="583"/>
      <c r="HB6" s="583"/>
      <c r="HC6" s="519"/>
      <c r="HD6" s="519"/>
      <c r="HE6" s="498"/>
      <c r="HF6" s="498"/>
      <c r="HG6" s="552"/>
      <c r="HH6" s="583"/>
      <c r="HI6" s="583"/>
      <c r="HJ6" s="519"/>
      <c r="HK6" s="519"/>
      <c r="HL6" s="498"/>
      <c r="HM6" s="498"/>
      <c r="HN6" s="552"/>
      <c r="HO6" s="583"/>
      <c r="HP6" s="583"/>
      <c r="HQ6" s="519"/>
      <c r="HR6" s="519"/>
      <c r="HS6" s="498"/>
      <c r="HT6" s="498"/>
      <c r="HU6" s="552"/>
      <c r="HV6" s="583"/>
      <c r="HW6" s="583"/>
      <c r="HX6" s="519"/>
      <c r="HY6" s="519"/>
      <c r="HZ6" s="498"/>
      <c r="IA6" s="498"/>
      <c r="IB6" s="552"/>
      <c r="IC6" s="583"/>
      <c r="ID6" s="583"/>
      <c r="IE6" s="519"/>
      <c r="IF6" s="519"/>
      <c r="IG6" s="498"/>
      <c r="IH6" s="498"/>
      <c r="II6" s="552"/>
      <c r="IJ6" s="583"/>
      <c r="IK6" s="583"/>
      <c r="IL6" s="519"/>
      <c r="IM6" s="519"/>
      <c r="IN6" s="498"/>
      <c r="IO6" s="498"/>
      <c r="IP6" s="552"/>
      <c r="IQ6" s="583"/>
      <c r="IR6" s="583"/>
      <c r="IS6" s="519"/>
      <c r="IT6" s="519"/>
      <c r="IU6" s="498"/>
      <c r="IV6" s="498"/>
      <c r="IW6" s="552"/>
      <c r="IX6" s="583"/>
      <c r="IY6" s="583"/>
      <c r="IZ6" s="519"/>
      <c r="JA6" s="519"/>
    </row>
    <row r="7" spans="1:261" ht="30.95" customHeight="1">
      <c r="A7" s="392">
        <v>21105</v>
      </c>
      <c r="B7" s="246" t="s">
        <v>525</v>
      </c>
      <c r="C7" s="246"/>
      <c r="D7" s="246"/>
      <c r="E7" s="246"/>
      <c r="F7" s="246"/>
      <c r="G7" s="246"/>
      <c r="H7" s="246"/>
      <c r="I7" s="246"/>
      <c r="J7" s="249"/>
      <c r="K7" s="249"/>
      <c r="L7" s="249"/>
      <c r="M7" s="249">
        <v>834000000</v>
      </c>
      <c r="N7" s="249">
        <f>M7</f>
        <v>834000000</v>
      </c>
      <c r="O7" s="249">
        <v>615600000</v>
      </c>
      <c r="P7" s="249">
        <v>1058400000</v>
      </c>
      <c r="Q7" s="249">
        <v>1356314400</v>
      </c>
      <c r="R7" s="724">
        <v>1671000000</v>
      </c>
      <c r="S7" s="886">
        <v>2010000000</v>
      </c>
      <c r="T7" s="249">
        <f t="shared" si="0"/>
        <v>339000000</v>
      </c>
      <c r="U7" s="583"/>
      <c r="V7" s="519"/>
      <c r="W7" s="519"/>
      <c r="X7" s="498"/>
      <c r="Y7" s="498"/>
      <c r="Z7" s="552"/>
      <c r="AA7" s="583"/>
      <c r="AB7" s="583"/>
      <c r="AC7" s="519"/>
      <c r="AD7" s="519"/>
      <c r="AE7" s="498"/>
      <c r="AF7" s="498"/>
      <c r="AG7" s="552"/>
      <c r="AH7" s="583"/>
      <c r="AI7" s="583"/>
      <c r="AJ7" s="519"/>
      <c r="AK7" s="519"/>
      <c r="AL7" s="498"/>
      <c r="AM7" s="498"/>
      <c r="AN7" s="552"/>
      <c r="AO7" s="583"/>
      <c r="AP7" s="583"/>
      <c r="AQ7" s="519"/>
      <c r="AR7" s="519"/>
      <c r="AS7" s="498"/>
      <c r="AT7" s="498"/>
      <c r="AU7" s="552"/>
      <c r="AV7" s="583"/>
      <c r="AW7" s="583"/>
      <c r="AX7" s="519"/>
      <c r="AY7" s="519"/>
      <c r="AZ7" s="498"/>
      <c r="BA7" s="498"/>
      <c r="BB7" s="552"/>
      <c r="BC7" s="583"/>
      <c r="BD7" s="583"/>
      <c r="BE7" s="519"/>
      <c r="BF7" s="519"/>
      <c r="BG7" s="498"/>
      <c r="BH7" s="498"/>
      <c r="BI7" s="552"/>
      <c r="BJ7" s="583"/>
      <c r="BK7" s="583"/>
      <c r="BL7" s="519"/>
      <c r="BM7" s="519"/>
      <c r="BN7" s="498"/>
      <c r="BO7" s="498"/>
      <c r="BP7" s="552"/>
      <c r="BQ7" s="583"/>
      <c r="BR7" s="583"/>
      <c r="BS7" s="519"/>
      <c r="BT7" s="519"/>
      <c r="BU7" s="498"/>
      <c r="BV7" s="498"/>
      <c r="BW7" s="552"/>
      <c r="BX7" s="583"/>
      <c r="BY7" s="583"/>
      <c r="BZ7" s="519"/>
      <c r="CA7" s="519"/>
      <c r="CB7" s="498"/>
      <c r="CC7" s="498"/>
      <c r="CD7" s="552"/>
      <c r="CE7" s="583"/>
      <c r="CF7" s="583"/>
      <c r="CG7" s="519"/>
      <c r="CH7" s="519"/>
      <c r="CI7" s="498"/>
      <c r="CJ7" s="498"/>
      <c r="CK7" s="552"/>
      <c r="CL7" s="583"/>
      <c r="CM7" s="583"/>
      <c r="CN7" s="519"/>
      <c r="CO7" s="519"/>
      <c r="CP7" s="498"/>
      <c r="CQ7" s="498"/>
      <c r="CR7" s="552"/>
      <c r="CS7" s="583"/>
      <c r="CT7" s="583"/>
      <c r="CU7" s="519"/>
      <c r="CV7" s="519"/>
      <c r="CW7" s="498"/>
      <c r="CX7" s="498"/>
      <c r="CY7" s="552"/>
      <c r="CZ7" s="583"/>
      <c r="DA7" s="583"/>
      <c r="DB7" s="519"/>
      <c r="DC7" s="519"/>
      <c r="DD7" s="498"/>
      <c r="DE7" s="498"/>
      <c r="DF7" s="552"/>
      <c r="DG7" s="583"/>
      <c r="DH7" s="583"/>
      <c r="DI7" s="519"/>
      <c r="DJ7" s="519"/>
      <c r="DK7" s="498"/>
      <c r="DL7" s="498"/>
      <c r="DM7" s="552"/>
      <c r="DN7" s="583"/>
      <c r="DO7" s="583"/>
      <c r="DP7" s="519"/>
      <c r="DQ7" s="519"/>
      <c r="DR7" s="498"/>
      <c r="DS7" s="498"/>
      <c r="DT7" s="552"/>
      <c r="DU7" s="583"/>
      <c r="DV7" s="583"/>
      <c r="DW7" s="519"/>
      <c r="DX7" s="519"/>
      <c r="DY7" s="498"/>
      <c r="DZ7" s="498"/>
      <c r="EA7" s="552"/>
      <c r="EB7" s="583"/>
      <c r="EC7" s="583"/>
      <c r="ED7" s="519"/>
      <c r="EE7" s="519"/>
      <c r="EF7" s="498"/>
      <c r="EG7" s="498"/>
      <c r="EH7" s="552"/>
      <c r="EI7" s="583"/>
      <c r="EJ7" s="583"/>
      <c r="EK7" s="519"/>
      <c r="EL7" s="519"/>
      <c r="EM7" s="498"/>
      <c r="EN7" s="498"/>
      <c r="EO7" s="552"/>
      <c r="EP7" s="583"/>
      <c r="EQ7" s="583"/>
      <c r="ER7" s="519"/>
      <c r="ES7" s="519"/>
      <c r="ET7" s="498"/>
      <c r="EU7" s="498"/>
      <c r="EV7" s="552"/>
      <c r="EW7" s="583"/>
      <c r="EX7" s="583"/>
      <c r="EY7" s="519"/>
      <c r="EZ7" s="519"/>
      <c r="FA7" s="498"/>
      <c r="FB7" s="498"/>
      <c r="FC7" s="552"/>
      <c r="FD7" s="583"/>
      <c r="FE7" s="583"/>
      <c r="FF7" s="519"/>
      <c r="FG7" s="519"/>
      <c r="FH7" s="498"/>
      <c r="FI7" s="498"/>
      <c r="FJ7" s="552"/>
      <c r="FK7" s="583"/>
      <c r="FL7" s="583"/>
      <c r="FM7" s="519"/>
      <c r="FN7" s="519"/>
      <c r="FO7" s="498"/>
      <c r="FP7" s="498"/>
      <c r="FQ7" s="552"/>
      <c r="FR7" s="583"/>
      <c r="FS7" s="583"/>
      <c r="FT7" s="519"/>
      <c r="FU7" s="519"/>
      <c r="FV7" s="498"/>
      <c r="FW7" s="498"/>
      <c r="FX7" s="552"/>
      <c r="FY7" s="583"/>
      <c r="FZ7" s="583"/>
      <c r="GA7" s="519"/>
      <c r="GB7" s="519"/>
      <c r="GC7" s="498"/>
      <c r="GD7" s="498"/>
      <c r="GE7" s="552"/>
      <c r="GF7" s="583"/>
      <c r="GG7" s="583"/>
      <c r="GH7" s="519"/>
      <c r="GI7" s="519"/>
      <c r="GJ7" s="498"/>
      <c r="GK7" s="498"/>
      <c r="GL7" s="552"/>
      <c r="GM7" s="583"/>
      <c r="GN7" s="583"/>
      <c r="GO7" s="519"/>
      <c r="GP7" s="519"/>
      <c r="GQ7" s="498"/>
      <c r="GR7" s="498"/>
      <c r="GS7" s="552"/>
      <c r="GT7" s="583"/>
      <c r="GU7" s="583"/>
      <c r="GV7" s="519"/>
      <c r="GW7" s="519"/>
      <c r="GX7" s="498"/>
      <c r="GY7" s="498"/>
      <c r="GZ7" s="552"/>
      <c r="HA7" s="583"/>
      <c r="HB7" s="583"/>
      <c r="HC7" s="519"/>
      <c r="HD7" s="519"/>
      <c r="HE7" s="498"/>
      <c r="HF7" s="498"/>
      <c r="HG7" s="552"/>
      <c r="HH7" s="583"/>
      <c r="HI7" s="583"/>
      <c r="HJ7" s="519"/>
      <c r="HK7" s="519"/>
      <c r="HL7" s="498"/>
      <c r="HM7" s="498"/>
      <c r="HN7" s="552"/>
      <c r="HO7" s="583"/>
      <c r="HP7" s="583"/>
      <c r="HQ7" s="519"/>
      <c r="HR7" s="519"/>
      <c r="HS7" s="498"/>
      <c r="HT7" s="498"/>
      <c r="HU7" s="552"/>
      <c r="HV7" s="583"/>
      <c r="HW7" s="583"/>
      <c r="HX7" s="519"/>
      <c r="HY7" s="519"/>
      <c r="HZ7" s="498"/>
      <c r="IA7" s="498"/>
      <c r="IB7" s="552"/>
      <c r="IC7" s="583"/>
      <c r="ID7" s="583"/>
      <c r="IE7" s="519"/>
      <c r="IF7" s="519"/>
      <c r="IG7" s="498"/>
      <c r="IH7" s="498"/>
      <c r="II7" s="552"/>
      <c r="IJ7" s="583"/>
      <c r="IK7" s="583"/>
      <c r="IL7" s="519"/>
      <c r="IM7" s="519"/>
      <c r="IN7" s="498"/>
      <c r="IO7" s="498"/>
      <c r="IP7" s="552"/>
      <c r="IQ7" s="583"/>
      <c r="IR7" s="583"/>
      <c r="IS7" s="519"/>
      <c r="IT7" s="519"/>
      <c r="IU7" s="498"/>
      <c r="IV7" s="498"/>
      <c r="IW7" s="552"/>
      <c r="IX7" s="583"/>
      <c r="IY7" s="583"/>
      <c r="IZ7" s="519"/>
      <c r="JA7" s="519"/>
    </row>
    <row r="8" spans="1:261" ht="30.95" customHeight="1">
      <c r="A8" s="392"/>
      <c r="B8" s="280" t="s">
        <v>92</v>
      </c>
      <c r="C8" s="246">
        <v>32399990</v>
      </c>
      <c r="D8" s="246">
        <v>2895816</v>
      </c>
      <c r="E8" s="246">
        <v>2895816</v>
      </c>
      <c r="F8" s="246">
        <v>6655816</v>
      </c>
      <c r="G8" s="246">
        <v>59200000</v>
      </c>
      <c r="H8" s="246">
        <v>74000000</v>
      </c>
      <c r="I8" s="246">
        <v>55115200</v>
      </c>
      <c r="J8" s="249">
        <v>55000000</v>
      </c>
      <c r="K8" s="249">
        <v>39873274</v>
      </c>
      <c r="L8" s="285">
        <f>SUM(L4:L6)</f>
        <v>943858800</v>
      </c>
      <c r="M8" s="285">
        <f>SUM(M3:M7)</f>
        <v>2329260000</v>
      </c>
      <c r="N8" s="285">
        <f t="shared" ref="N8:S8" si="1">SUM(N4:N7)</f>
        <v>2538439200</v>
      </c>
      <c r="O8" s="285">
        <f t="shared" si="1"/>
        <v>1893436800</v>
      </c>
      <c r="P8" s="285">
        <f t="shared" si="1"/>
        <v>2975077920</v>
      </c>
      <c r="Q8" s="285">
        <f t="shared" si="1"/>
        <v>3515493600</v>
      </c>
      <c r="R8" s="285">
        <f t="shared" si="1"/>
        <v>4029809280</v>
      </c>
      <c r="S8" s="849">
        <f t="shared" si="1"/>
        <v>5151960480</v>
      </c>
      <c r="T8" s="285">
        <f t="shared" si="0"/>
        <v>1122151200</v>
      </c>
    </row>
    <row r="9" spans="1:261" ht="30.95" customHeight="1">
      <c r="A9" s="476">
        <v>220</v>
      </c>
      <c r="B9" s="280" t="s">
        <v>225</v>
      </c>
      <c r="C9" s="246">
        <v>0</v>
      </c>
      <c r="D9" s="246">
        <v>0</v>
      </c>
      <c r="E9" s="246">
        <v>0</v>
      </c>
      <c r="F9" s="246">
        <v>0</v>
      </c>
      <c r="G9" s="246">
        <v>16000000</v>
      </c>
      <c r="H9" s="246">
        <v>20000000</v>
      </c>
      <c r="I9" s="246">
        <v>14896000</v>
      </c>
      <c r="J9" s="249">
        <v>25000000</v>
      </c>
      <c r="K9" s="249">
        <v>7448000</v>
      </c>
      <c r="L9" s="249"/>
      <c r="M9" s="249"/>
      <c r="N9" s="249"/>
      <c r="O9" s="249"/>
      <c r="P9" s="249"/>
      <c r="Q9" s="249"/>
      <c r="R9" s="249"/>
      <c r="S9" s="848"/>
      <c r="T9" s="249">
        <f t="shared" si="0"/>
        <v>0</v>
      </c>
    </row>
    <row r="10" spans="1:261" ht="30.95" customHeight="1">
      <c r="A10" s="476">
        <v>2210</v>
      </c>
      <c r="B10" s="280" t="s">
        <v>226</v>
      </c>
      <c r="C10" s="246"/>
      <c r="D10" s="246"/>
      <c r="E10" s="246"/>
      <c r="F10" s="246"/>
      <c r="G10" s="246"/>
      <c r="H10" s="246"/>
      <c r="I10" s="246"/>
      <c r="J10" s="249"/>
      <c r="K10" s="249">
        <v>9682400</v>
      </c>
      <c r="L10" s="249"/>
      <c r="M10" s="249"/>
      <c r="N10" s="249"/>
      <c r="O10" s="249"/>
      <c r="P10" s="249"/>
      <c r="Q10" s="249"/>
      <c r="R10" s="249"/>
      <c r="S10" s="848"/>
      <c r="T10" s="249">
        <f t="shared" si="0"/>
        <v>0</v>
      </c>
    </row>
    <row r="11" spans="1:261" ht="30.95" customHeight="1">
      <c r="A11" s="392">
        <v>22101</v>
      </c>
      <c r="B11" s="246" t="s">
        <v>33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9">
        <v>0</v>
      </c>
      <c r="K11" s="249">
        <v>14896000</v>
      </c>
      <c r="L11" s="249">
        <v>30906200</v>
      </c>
      <c r="M11" s="249">
        <f>30906200*70%+20000000</f>
        <v>41634340</v>
      </c>
      <c r="N11" s="249">
        <f>30906200*70%+20000000</f>
        <v>41634340</v>
      </c>
      <c r="O11" s="249">
        <v>61634340</v>
      </c>
      <c r="P11" s="249">
        <v>61634340</v>
      </c>
      <c r="Q11" s="249">
        <v>61634340</v>
      </c>
      <c r="R11" s="249">
        <v>61634340</v>
      </c>
      <c r="S11" s="848">
        <v>61634340</v>
      </c>
      <c r="T11" s="249">
        <f t="shared" si="0"/>
        <v>0</v>
      </c>
    </row>
    <row r="12" spans="1:261" ht="30.95" customHeight="1">
      <c r="A12" s="392">
        <v>22104</v>
      </c>
      <c r="B12" s="246" t="s">
        <v>157</v>
      </c>
      <c r="C12" s="246"/>
      <c r="D12" s="246"/>
      <c r="E12" s="246"/>
      <c r="F12" s="246"/>
      <c r="G12" s="246"/>
      <c r="H12" s="246"/>
      <c r="I12" s="246"/>
      <c r="J12" s="249"/>
      <c r="K12" s="249">
        <v>115000000</v>
      </c>
      <c r="L12" s="249">
        <v>118865600</v>
      </c>
      <c r="M12" s="249">
        <f t="shared" ref="M12:Q12" si="2">83205920+20000000</f>
        <v>103205920</v>
      </c>
      <c r="N12" s="249">
        <f t="shared" si="2"/>
        <v>103205920</v>
      </c>
      <c r="O12" s="249">
        <f t="shared" si="2"/>
        <v>103205920</v>
      </c>
      <c r="P12" s="249">
        <f t="shared" si="2"/>
        <v>103205920</v>
      </c>
      <c r="Q12" s="249">
        <f t="shared" si="2"/>
        <v>103205920</v>
      </c>
      <c r="R12" s="249">
        <v>133205920</v>
      </c>
      <c r="S12" s="848">
        <v>133205920</v>
      </c>
      <c r="T12" s="249">
        <f t="shared" si="0"/>
        <v>0</v>
      </c>
    </row>
    <row r="13" spans="1:261" ht="30.95" customHeight="1">
      <c r="A13" s="392">
        <v>22105</v>
      </c>
      <c r="B13" s="246" t="s">
        <v>135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20000000</v>
      </c>
      <c r="I13" s="246">
        <v>0</v>
      </c>
      <c r="J13" s="249">
        <v>20000000</v>
      </c>
      <c r="K13" s="249">
        <v>0</v>
      </c>
      <c r="L13" s="249">
        <v>11954040</v>
      </c>
      <c r="M13" s="249">
        <f>11954040*70%</f>
        <v>8367827.9999999991</v>
      </c>
      <c r="N13" s="249">
        <f>11954040*70%</f>
        <v>8367827.9999999991</v>
      </c>
      <c r="O13" s="249">
        <f>11954040*70%</f>
        <v>8367827.9999999991</v>
      </c>
      <c r="P13" s="249">
        <v>80367828</v>
      </c>
      <c r="Q13" s="249">
        <v>0</v>
      </c>
      <c r="R13" s="249">
        <v>8400000</v>
      </c>
      <c r="S13" s="848">
        <v>8400000</v>
      </c>
      <c r="T13" s="249">
        <f t="shared" si="0"/>
        <v>0</v>
      </c>
    </row>
    <row r="14" spans="1:261" ht="30.95" customHeight="1">
      <c r="A14" s="392">
        <v>22106</v>
      </c>
      <c r="B14" s="246" t="s">
        <v>126</v>
      </c>
      <c r="C14" s="246"/>
      <c r="D14" s="246">
        <v>0</v>
      </c>
      <c r="E14" s="246">
        <v>0</v>
      </c>
      <c r="F14" s="246">
        <v>22500000</v>
      </c>
      <c r="G14" s="246">
        <v>0</v>
      </c>
      <c r="H14" s="246">
        <v>40000000</v>
      </c>
      <c r="I14" s="246">
        <v>0</v>
      </c>
      <c r="J14" s="249">
        <v>0</v>
      </c>
      <c r="K14" s="249">
        <v>0</v>
      </c>
      <c r="L14" s="249">
        <v>12289200</v>
      </c>
      <c r="M14" s="249">
        <f>12289200*70%+15000000</f>
        <v>23602440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  <c r="S14" s="848">
        <v>0</v>
      </c>
      <c r="T14" s="249">
        <f t="shared" si="0"/>
        <v>0</v>
      </c>
    </row>
    <row r="15" spans="1:261" ht="30.95" customHeight="1">
      <c r="A15" s="392">
        <v>22107</v>
      </c>
      <c r="B15" s="246" t="s">
        <v>48</v>
      </c>
      <c r="C15" s="246"/>
      <c r="D15" s="246"/>
      <c r="E15" s="246"/>
      <c r="F15" s="246"/>
      <c r="G15" s="246"/>
      <c r="H15" s="246"/>
      <c r="I15" s="246"/>
      <c r="J15" s="249"/>
      <c r="K15" s="249">
        <v>5958400</v>
      </c>
      <c r="L15" s="249">
        <v>60716400</v>
      </c>
      <c r="M15" s="249">
        <f>42501480+10000000</f>
        <v>52501480</v>
      </c>
      <c r="N15" s="249">
        <f>M15*70%</f>
        <v>36751036</v>
      </c>
      <c r="O15" s="249">
        <f>N15</f>
        <v>36751036</v>
      </c>
      <c r="P15" s="249">
        <v>40751036</v>
      </c>
      <c r="Q15" s="249">
        <v>60751036</v>
      </c>
      <c r="R15" s="249">
        <v>60751036</v>
      </c>
      <c r="S15" s="848">
        <v>60751036</v>
      </c>
      <c r="T15" s="249">
        <f t="shared" si="0"/>
        <v>0</v>
      </c>
    </row>
    <row r="16" spans="1:261" ht="30.95" customHeight="1">
      <c r="A16" s="392">
        <v>22108</v>
      </c>
      <c r="B16" s="246" t="s">
        <v>1074</v>
      </c>
      <c r="C16" s="246"/>
      <c r="D16" s="246"/>
      <c r="E16" s="246"/>
      <c r="F16" s="246"/>
      <c r="G16" s="246"/>
      <c r="H16" s="246"/>
      <c r="I16" s="246"/>
      <c r="J16" s="249"/>
      <c r="K16" s="249"/>
      <c r="L16" s="249"/>
      <c r="M16" s="249"/>
      <c r="N16" s="249"/>
      <c r="O16" s="249"/>
      <c r="P16" s="249"/>
      <c r="Q16" s="249"/>
      <c r="R16" s="249"/>
      <c r="S16" s="848">
        <v>10800000</v>
      </c>
      <c r="T16" s="249">
        <f t="shared" si="0"/>
        <v>10800000</v>
      </c>
    </row>
    <row r="17" spans="1:22" ht="30.95" customHeight="1">
      <c r="A17" s="392">
        <v>22109</v>
      </c>
      <c r="B17" s="246" t="s">
        <v>136</v>
      </c>
      <c r="C17" s="246">
        <v>0</v>
      </c>
      <c r="D17" s="246">
        <v>0</v>
      </c>
      <c r="E17" s="246">
        <v>0</v>
      </c>
      <c r="F17" s="246">
        <v>0</v>
      </c>
      <c r="G17" s="246">
        <v>2400000</v>
      </c>
      <c r="H17" s="246">
        <v>3000000</v>
      </c>
      <c r="I17" s="246">
        <v>1862000</v>
      </c>
      <c r="J17" s="249">
        <v>1862000</v>
      </c>
      <c r="K17" s="285">
        <f>SUM(K8:K15)</f>
        <v>192858074</v>
      </c>
      <c r="L17" s="249">
        <v>42492900</v>
      </c>
      <c r="M17" s="249">
        <f t="shared" ref="M17:Q17" si="3">42492900*70%+30000000</f>
        <v>59745030</v>
      </c>
      <c r="N17" s="249">
        <f t="shared" si="3"/>
        <v>59745030</v>
      </c>
      <c r="O17" s="249">
        <f t="shared" si="3"/>
        <v>59745030</v>
      </c>
      <c r="P17" s="249">
        <f t="shared" si="3"/>
        <v>59745030</v>
      </c>
      <c r="Q17" s="249">
        <f t="shared" si="3"/>
        <v>59745030</v>
      </c>
      <c r="R17" s="249">
        <v>79000000</v>
      </c>
      <c r="S17" s="848">
        <v>79000000</v>
      </c>
      <c r="T17" s="249">
        <f t="shared" si="0"/>
        <v>0</v>
      </c>
    </row>
    <row r="18" spans="1:22" s="492" customFormat="1" ht="30.95" customHeight="1">
      <c r="A18" s="392">
        <v>22112</v>
      </c>
      <c r="B18" s="246" t="s">
        <v>35</v>
      </c>
      <c r="C18" s="280">
        <f>SUM(C13:C17)</f>
        <v>0</v>
      </c>
      <c r="D18" s="280">
        <f>SUM(D13:D17)</f>
        <v>0</v>
      </c>
      <c r="E18" s="280">
        <v>0</v>
      </c>
      <c r="F18" s="280">
        <f>SUM(F13:F17)</f>
        <v>22500000</v>
      </c>
      <c r="G18" s="280">
        <f>SUM(G13:G17)</f>
        <v>2400000</v>
      </c>
      <c r="H18" s="280">
        <f>SUM(H13:H17)</f>
        <v>63000000</v>
      </c>
      <c r="I18" s="280">
        <f>SUM(I13:I17)</f>
        <v>1862000</v>
      </c>
      <c r="J18" s="285">
        <f>SUM(J13:J17)</f>
        <v>21862000</v>
      </c>
      <c r="K18" s="285"/>
      <c r="L18" s="249">
        <v>51971600</v>
      </c>
      <c r="M18" s="249">
        <f>36380120+5000000</f>
        <v>41380120</v>
      </c>
      <c r="N18" s="249">
        <f>36380120+5000000</f>
        <v>41380120</v>
      </c>
      <c r="O18" s="249">
        <f>36380120+5000000</f>
        <v>41380120</v>
      </c>
      <c r="P18" s="249">
        <f>36380120+5000000</f>
        <v>41380120</v>
      </c>
      <c r="Q18" s="249">
        <v>50000000</v>
      </c>
      <c r="R18" s="249">
        <v>50000000</v>
      </c>
      <c r="S18" s="848">
        <v>80000000</v>
      </c>
      <c r="T18" s="249">
        <f t="shared" si="0"/>
        <v>30000000</v>
      </c>
    </row>
    <row r="19" spans="1:22" ht="30.95" customHeight="1">
      <c r="A19" s="392">
        <v>22129</v>
      </c>
      <c r="B19" s="246" t="s">
        <v>288</v>
      </c>
      <c r="C19" s="246"/>
      <c r="D19" s="246"/>
      <c r="E19" s="246"/>
      <c r="F19" s="246" t="s">
        <v>4</v>
      </c>
      <c r="G19" s="246"/>
      <c r="H19" s="246"/>
      <c r="I19" s="246"/>
      <c r="J19" s="249"/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20000000</v>
      </c>
      <c r="S19" s="848">
        <v>20000000</v>
      </c>
      <c r="T19" s="249">
        <f t="shared" si="0"/>
        <v>0</v>
      </c>
    </row>
    <row r="20" spans="1:22" ht="30.95" customHeight="1">
      <c r="A20" s="392">
        <v>22132</v>
      </c>
      <c r="B20" s="246" t="s">
        <v>187</v>
      </c>
      <c r="C20" s="246"/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9">
        <v>0</v>
      </c>
      <c r="K20" s="249">
        <v>28488600</v>
      </c>
      <c r="L20" s="249">
        <f>309000000+18372000</f>
        <v>327372000</v>
      </c>
      <c r="M20" s="249">
        <f>327372000*70%</f>
        <v>229160400</v>
      </c>
      <c r="N20" s="249">
        <v>0</v>
      </c>
      <c r="O20" s="249">
        <v>0</v>
      </c>
      <c r="P20" s="249">
        <v>0</v>
      </c>
      <c r="Q20" s="249">
        <v>0</v>
      </c>
      <c r="R20" s="249">
        <v>100000000</v>
      </c>
      <c r="S20" s="848">
        <v>200000000</v>
      </c>
      <c r="T20" s="249">
        <f t="shared" si="0"/>
        <v>100000000</v>
      </c>
    </row>
    <row r="21" spans="1:22" ht="30.95" customHeight="1">
      <c r="A21" s="392">
        <v>22136</v>
      </c>
      <c r="B21" s="246" t="s">
        <v>1167</v>
      </c>
      <c r="C21" s="246"/>
      <c r="D21" s="246"/>
      <c r="E21" s="246"/>
      <c r="F21" s="246"/>
      <c r="G21" s="246"/>
      <c r="H21" s="246"/>
      <c r="I21" s="246"/>
      <c r="J21" s="249"/>
      <c r="K21" s="249"/>
      <c r="L21" s="249"/>
      <c r="M21" s="249"/>
      <c r="N21" s="249"/>
      <c r="O21" s="249"/>
      <c r="P21" s="249"/>
      <c r="Q21" s="249"/>
      <c r="R21" s="249">
        <v>30000000</v>
      </c>
      <c r="S21" s="848">
        <v>200000000</v>
      </c>
      <c r="T21" s="249">
        <f t="shared" si="0"/>
        <v>170000000</v>
      </c>
    </row>
    <row r="22" spans="1:22" ht="30.95" customHeight="1">
      <c r="A22" s="392">
        <v>22137</v>
      </c>
      <c r="B22" s="246" t="s">
        <v>282</v>
      </c>
      <c r="C22" s="246"/>
      <c r="D22" s="246"/>
      <c r="E22" s="246"/>
      <c r="F22" s="246"/>
      <c r="G22" s="246"/>
      <c r="H22" s="246"/>
      <c r="I22" s="246"/>
      <c r="J22" s="249"/>
      <c r="K22" s="249">
        <v>14896000</v>
      </c>
      <c r="L22" s="249">
        <v>32130400</v>
      </c>
      <c r="M22" s="249">
        <f>32130400*70%+20000000</f>
        <v>42491280</v>
      </c>
      <c r="N22" s="249">
        <f>32130400*70%+20000000</f>
        <v>42491280</v>
      </c>
      <c r="O22" s="249">
        <v>142491280</v>
      </c>
      <c r="P22" s="249">
        <v>142491280</v>
      </c>
      <c r="Q22" s="249">
        <v>142491280</v>
      </c>
      <c r="R22" s="249">
        <v>142491280</v>
      </c>
      <c r="S22" s="848">
        <v>142491280</v>
      </c>
      <c r="T22" s="249">
        <f t="shared" si="0"/>
        <v>0</v>
      </c>
      <c r="V22" s="492"/>
    </row>
    <row r="23" spans="1:22" ht="30.95" customHeight="1">
      <c r="A23" s="392">
        <v>22170</v>
      </c>
      <c r="B23" s="246" t="s">
        <v>909</v>
      </c>
      <c r="C23" s="246"/>
      <c r="D23" s="246"/>
      <c r="E23" s="246"/>
      <c r="F23" s="246"/>
      <c r="G23" s="246"/>
      <c r="H23" s="246"/>
      <c r="I23" s="246"/>
      <c r="J23" s="249"/>
      <c r="K23" s="249"/>
      <c r="L23" s="249"/>
      <c r="M23" s="249"/>
      <c r="N23" s="249"/>
      <c r="O23" s="249">
        <v>0</v>
      </c>
      <c r="P23" s="249">
        <v>350000000</v>
      </c>
      <c r="Q23" s="249">
        <v>350000000</v>
      </c>
      <c r="R23" s="249">
        <v>350000000</v>
      </c>
      <c r="S23" s="848">
        <v>550000000</v>
      </c>
      <c r="T23" s="249">
        <f t="shared" si="0"/>
        <v>200000000</v>
      </c>
      <c r="V23" s="492"/>
    </row>
    <row r="24" spans="1:22" ht="30.95" customHeight="1">
      <c r="A24" s="476"/>
      <c r="B24" s="280" t="s">
        <v>92</v>
      </c>
      <c r="C24" s="246"/>
      <c r="D24" s="246"/>
      <c r="E24" s="246"/>
      <c r="F24" s="246">
        <v>100000000</v>
      </c>
      <c r="G24" s="246">
        <v>0</v>
      </c>
      <c r="H24" s="246">
        <v>0</v>
      </c>
      <c r="I24" s="246">
        <v>0</v>
      </c>
      <c r="J24" s="249">
        <v>0</v>
      </c>
      <c r="K24" s="285">
        <f>SUM(K19:K22)</f>
        <v>43384600</v>
      </c>
      <c r="L24" s="285">
        <f>SUM(L11:L22)</f>
        <v>688698340</v>
      </c>
      <c r="M24" s="285">
        <f>SUM(M11:M22)</f>
        <v>602088838</v>
      </c>
      <c r="N24" s="285">
        <f>SUM(N11:N22)</f>
        <v>333575554</v>
      </c>
      <c r="O24" s="285">
        <f>SUM(O11:O23)</f>
        <v>453575554</v>
      </c>
      <c r="P24" s="285">
        <f>SUM(P11:P23)</f>
        <v>879575554</v>
      </c>
      <c r="Q24" s="285">
        <f>SUM(Q11:Q23)</f>
        <v>827827606</v>
      </c>
      <c r="R24" s="285">
        <f>SUM(R11:R23)</f>
        <v>1035482576</v>
      </c>
      <c r="S24" s="849">
        <f>SUM(S11:S23)</f>
        <v>1546282576</v>
      </c>
      <c r="T24" s="285">
        <f t="shared" si="0"/>
        <v>510800000</v>
      </c>
    </row>
    <row r="25" spans="1:22" s="492" customFormat="1" ht="30.95" customHeight="1">
      <c r="A25" s="476">
        <v>2220</v>
      </c>
      <c r="B25" s="280" t="s">
        <v>240</v>
      </c>
      <c r="C25" s="280" t="e">
        <f>SUM(#REF!)</f>
        <v>#REF!</v>
      </c>
      <c r="D25" s="280" t="e">
        <f>SUM(#REF!)</f>
        <v>#REF!</v>
      </c>
      <c r="E25" s="280">
        <f>SUM(E20:E20)</f>
        <v>0</v>
      </c>
      <c r="F25" s="280">
        <f>SUM(F20:F24)</f>
        <v>100000000</v>
      </c>
      <c r="G25" s="280">
        <f>SUM(G20:G24)</f>
        <v>0</v>
      </c>
      <c r="H25" s="280">
        <f>SUM(H20:H24)</f>
        <v>0</v>
      </c>
      <c r="I25" s="280">
        <f>SUM(I20:I24)</f>
        <v>0</v>
      </c>
      <c r="J25" s="285">
        <f>SUM(J20:J24)</f>
        <v>0</v>
      </c>
      <c r="K25" s="285"/>
      <c r="L25" s="285"/>
      <c r="M25" s="285"/>
      <c r="N25" s="285"/>
      <c r="O25" s="285"/>
      <c r="P25" s="285"/>
      <c r="Q25" s="285"/>
      <c r="R25" s="285"/>
      <c r="S25" s="849"/>
      <c r="T25" s="249">
        <f t="shared" si="0"/>
        <v>0</v>
      </c>
    </row>
    <row r="26" spans="1:22" ht="30.95" customHeight="1">
      <c r="A26" s="392">
        <v>22202</v>
      </c>
      <c r="B26" s="246" t="s">
        <v>133</v>
      </c>
      <c r="C26" s="246">
        <v>4799980</v>
      </c>
      <c r="D26" s="246">
        <v>0</v>
      </c>
      <c r="E26" s="246">
        <v>0</v>
      </c>
      <c r="F26" s="246">
        <v>11800000</v>
      </c>
      <c r="G26" s="246">
        <v>24000000</v>
      </c>
      <c r="H26" s="246">
        <v>30000000</v>
      </c>
      <c r="I26" s="246">
        <v>17875200</v>
      </c>
      <c r="J26" s="249">
        <v>17875200</v>
      </c>
      <c r="K26" s="249">
        <v>0</v>
      </c>
      <c r="L26" s="249">
        <v>431733818</v>
      </c>
      <c r="M26" s="249">
        <f>302213672+98211600</f>
        <v>400425272</v>
      </c>
      <c r="N26" s="249">
        <f>M26</f>
        <v>400425272</v>
      </c>
      <c r="O26" s="249">
        <v>300000000</v>
      </c>
      <c r="P26" s="249">
        <v>350000000</v>
      </c>
      <c r="Q26" s="249">
        <v>350000000</v>
      </c>
      <c r="R26" s="249">
        <v>350000000</v>
      </c>
      <c r="S26" s="848">
        <v>390000000</v>
      </c>
      <c r="T26" s="249">
        <f t="shared" si="0"/>
        <v>40000000</v>
      </c>
    </row>
    <row r="27" spans="1:22" ht="30.95" customHeight="1">
      <c r="A27" s="392">
        <v>22203</v>
      </c>
      <c r="B27" s="246" t="s">
        <v>127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9">
        <v>0</v>
      </c>
      <c r="K27" s="249">
        <v>0</v>
      </c>
      <c r="L27" s="249">
        <v>59733400</v>
      </c>
      <c r="M27" s="249">
        <f t="shared" ref="M27:R27" si="4">41813380+5000000</f>
        <v>46813380</v>
      </c>
      <c r="N27" s="249">
        <f t="shared" si="4"/>
        <v>46813380</v>
      </c>
      <c r="O27" s="249">
        <f t="shared" si="4"/>
        <v>46813380</v>
      </c>
      <c r="P27" s="249">
        <f t="shared" si="4"/>
        <v>46813380</v>
      </c>
      <c r="Q27" s="249">
        <f t="shared" si="4"/>
        <v>46813380</v>
      </c>
      <c r="R27" s="249">
        <f t="shared" si="4"/>
        <v>46813380</v>
      </c>
      <c r="S27" s="848">
        <v>67000000</v>
      </c>
      <c r="T27" s="249">
        <f t="shared" si="0"/>
        <v>20186620</v>
      </c>
    </row>
    <row r="28" spans="1:22" ht="30.95" customHeight="1">
      <c r="A28" s="392">
        <v>22204</v>
      </c>
      <c r="B28" s="246" t="s">
        <v>128</v>
      </c>
      <c r="C28" s="246">
        <v>15436990</v>
      </c>
      <c r="D28" s="246">
        <f>23000000+92-14000000</f>
        <v>9000092</v>
      </c>
      <c r="E28" s="246">
        <v>9000092</v>
      </c>
      <c r="F28" s="246">
        <v>29000092</v>
      </c>
      <c r="G28" s="246">
        <v>35200000</v>
      </c>
      <c r="H28" s="246">
        <v>44000000</v>
      </c>
      <c r="I28" s="246">
        <v>39873274</v>
      </c>
      <c r="J28" s="249">
        <v>49000000</v>
      </c>
      <c r="K28" s="249">
        <v>1862000</v>
      </c>
      <c r="L28" s="249">
        <v>88225200</v>
      </c>
      <c r="M28" s="249">
        <f>88225200*70%+40000000</f>
        <v>101757640</v>
      </c>
      <c r="N28" s="249">
        <f>88225200*70%+40000000</f>
        <v>101757640</v>
      </c>
      <c r="O28" s="249">
        <v>51757640</v>
      </c>
      <c r="P28" s="249">
        <v>51757640</v>
      </c>
      <c r="Q28" s="249">
        <v>51757640</v>
      </c>
      <c r="R28" s="249">
        <v>51757640</v>
      </c>
      <c r="S28" s="848">
        <v>51757640</v>
      </c>
      <c r="T28" s="249">
        <f t="shared" si="0"/>
        <v>0</v>
      </c>
    </row>
    <row r="29" spans="1:22" ht="30.95" customHeight="1">
      <c r="A29" s="392">
        <v>22208</v>
      </c>
      <c r="B29" s="246" t="s">
        <v>485</v>
      </c>
      <c r="C29" s="246"/>
      <c r="D29" s="246"/>
      <c r="E29" s="246"/>
      <c r="F29" s="246"/>
      <c r="G29" s="246"/>
      <c r="H29" s="246"/>
      <c r="I29" s="246"/>
      <c r="J29" s="249"/>
      <c r="K29" s="249"/>
      <c r="L29" s="249">
        <v>54000000</v>
      </c>
      <c r="M29" s="249">
        <f>54000000/3500*6000</f>
        <v>92571428.571428582</v>
      </c>
      <c r="N29" s="249">
        <f>54000000/3500*6000</f>
        <v>92571428.571428582</v>
      </c>
      <c r="O29" s="249">
        <v>0</v>
      </c>
      <c r="P29" s="249">
        <v>0</v>
      </c>
      <c r="Q29" s="249">
        <v>0</v>
      </c>
      <c r="R29" s="249">
        <v>0</v>
      </c>
      <c r="S29" s="848">
        <v>0</v>
      </c>
      <c r="T29" s="249">
        <f t="shared" si="0"/>
        <v>0</v>
      </c>
    </row>
    <row r="30" spans="1:22" ht="30.95" customHeight="1">
      <c r="A30" s="392"/>
      <c r="B30" s="280" t="s">
        <v>92</v>
      </c>
      <c r="C30" s="246"/>
      <c r="D30" s="246"/>
      <c r="E30" s="246"/>
      <c r="F30" s="246">
        <v>0</v>
      </c>
      <c r="G30" s="246">
        <v>13280000</v>
      </c>
      <c r="H30" s="246">
        <v>16600000</v>
      </c>
      <c r="I30" s="246">
        <v>9682400</v>
      </c>
      <c r="J30" s="249">
        <v>9682400</v>
      </c>
      <c r="K30" s="285">
        <f>SUM(K26:K29)</f>
        <v>1862000</v>
      </c>
      <c r="L30" s="285" t="e">
        <f>#REF!+L28+L27+L26</f>
        <v>#REF!</v>
      </c>
      <c r="M30" s="285">
        <f t="shared" ref="M30:Q30" si="5">SUM(M26:M29)</f>
        <v>641567720.57142854</v>
      </c>
      <c r="N30" s="285">
        <f t="shared" si="5"/>
        <v>641567720.57142854</v>
      </c>
      <c r="O30" s="285">
        <f t="shared" si="5"/>
        <v>398571020</v>
      </c>
      <c r="P30" s="285">
        <f t="shared" si="5"/>
        <v>448571020</v>
      </c>
      <c r="Q30" s="285">
        <f t="shared" si="5"/>
        <v>448571020</v>
      </c>
      <c r="R30" s="285">
        <f>SUM(R26:R29)</f>
        <v>448571020</v>
      </c>
      <c r="S30" s="849">
        <f>SUM(S26:S29)</f>
        <v>508757640</v>
      </c>
      <c r="T30" s="285">
        <f t="shared" si="0"/>
        <v>60186620</v>
      </c>
    </row>
    <row r="31" spans="1:22" ht="30.95" customHeight="1">
      <c r="A31" s="476">
        <v>2230</v>
      </c>
      <c r="B31" s="280" t="s">
        <v>130</v>
      </c>
      <c r="C31" s="246"/>
      <c r="D31" s="246">
        <v>0</v>
      </c>
      <c r="E31" s="246">
        <v>0</v>
      </c>
      <c r="F31" s="246">
        <v>2000000</v>
      </c>
      <c r="G31" s="246">
        <v>16000000</v>
      </c>
      <c r="H31" s="246">
        <v>20000000</v>
      </c>
      <c r="I31" s="246">
        <v>14896000</v>
      </c>
      <c r="J31" s="249">
        <v>20000000</v>
      </c>
      <c r="K31" s="249"/>
      <c r="L31" s="249"/>
      <c r="M31" s="249"/>
      <c r="N31" s="249"/>
      <c r="O31" s="249"/>
      <c r="P31" s="249"/>
      <c r="Q31" s="249"/>
      <c r="R31" s="249"/>
      <c r="S31" s="848"/>
      <c r="T31" s="249">
        <f t="shared" si="0"/>
        <v>0</v>
      </c>
    </row>
    <row r="32" spans="1:22" ht="30.95" customHeight="1">
      <c r="A32" s="392">
        <v>22301</v>
      </c>
      <c r="B32" s="246" t="s">
        <v>345</v>
      </c>
      <c r="C32" s="246"/>
      <c r="D32" s="246">
        <v>0</v>
      </c>
      <c r="E32" s="246">
        <v>0</v>
      </c>
      <c r="F32" s="246">
        <v>9000200</v>
      </c>
      <c r="G32" s="246">
        <v>18400000</v>
      </c>
      <c r="H32" s="246">
        <v>23000000</v>
      </c>
      <c r="I32" s="246">
        <v>13704320</v>
      </c>
      <c r="J32" s="249">
        <v>13704320</v>
      </c>
      <c r="K32" s="249">
        <v>27588136</v>
      </c>
      <c r="L32" s="249">
        <v>84208136</v>
      </c>
      <c r="M32" s="249">
        <f>58945695*70%+10000000</f>
        <v>51261986.5</v>
      </c>
      <c r="N32" s="249">
        <f>58945695*70%+10000000</f>
        <v>51261986.5</v>
      </c>
      <c r="O32" s="249">
        <f>58945695*70%+10000000</f>
        <v>51261986.5</v>
      </c>
      <c r="P32" s="249">
        <f>58945695*70%+10000000</f>
        <v>51261986.5</v>
      </c>
      <c r="Q32" s="249">
        <v>70000000</v>
      </c>
      <c r="R32" s="249">
        <v>70000000</v>
      </c>
      <c r="S32" s="848">
        <v>120000000</v>
      </c>
      <c r="T32" s="249">
        <f t="shared" si="0"/>
        <v>50000000</v>
      </c>
      <c r="U32" s="492"/>
      <c r="V32" s="552"/>
    </row>
    <row r="33" spans="1:20" ht="30.95" customHeight="1">
      <c r="A33" s="392">
        <v>22302</v>
      </c>
      <c r="B33" s="246" t="s">
        <v>249</v>
      </c>
      <c r="C33" s="246">
        <v>2279995</v>
      </c>
      <c r="D33" s="246">
        <v>2545200</v>
      </c>
      <c r="E33" s="246">
        <v>2545200</v>
      </c>
      <c r="F33" s="246">
        <v>3505200</v>
      </c>
      <c r="G33" s="246">
        <v>9600000</v>
      </c>
      <c r="H33" s="246">
        <v>22000000</v>
      </c>
      <c r="I33" s="246">
        <v>16385600</v>
      </c>
      <c r="J33" s="249">
        <v>16385600</v>
      </c>
      <c r="K33" s="249">
        <v>3724000</v>
      </c>
      <c r="L33" s="249">
        <v>3724000</v>
      </c>
      <c r="M33" s="249">
        <f>3724000*70%</f>
        <v>2606800</v>
      </c>
      <c r="N33" s="249">
        <f>3724000*70%</f>
        <v>2606800</v>
      </c>
      <c r="O33" s="249">
        <f>3724000*70%</f>
        <v>2606800</v>
      </c>
      <c r="P33" s="249">
        <v>186000000</v>
      </c>
      <c r="Q33" s="249">
        <v>0</v>
      </c>
      <c r="R33" s="249">
        <v>0</v>
      </c>
      <c r="S33" s="848">
        <v>0</v>
      </c>
      <c r="T33" s="249">
        <f t="shared" si="0"/>
        <v>0</v>
      </c>
    </row>
    <row r="34" spans="1:20" ht="30.95" customHeight="1">
      <c r="A34" s="392"/>
      <c r="B34" s="280" t="s">
        <v>92</v>
      </c>
      <c r="C34" s="246">
        <v>15000000</v>
      </c>
      <c r="D34" s="246">
        <v>14000000</v>
      </c>
      <c r="E34" s="246">
        <v>9025900</v>
      </c>
      <c r="F34" s="246">
        <v>39837118</v>
      </c>
      <c r="G34" s="246">
        <v>0</v>
      </c>
      <c r="H34" s="246">
        <v>0</v>
      </c>
      <c r="I34" s="246">
        <v>0</v>
      </c>
      <c r="J34" s="249">
        <v>0</v>
      </c>
      <c r="K34" s="249">
        <v>0</v>
      </c>
      <c r="L34" s="285">
        <f t="shared" ref="L34:P34" si="6">SUM(L32:L33)</f>
        <v>87932136</v>
      </c>
      <c r="M34" s="285">
        <f t="shared" si="6"/>
        <v>53868786.5</v>
      </c>
      <c r="N34" s="285">
        <f t="shared" si="6"/>
        <v>53868786.5</v>
      </c>
      <c r="O34" s="285">
        <f t="shared" si="6"/>
        <v>53868786.5</v>
      </c>
      <c r="P34" s="285">
        <f t="shared" si="6"/>
        <v>237261986.5</v>
      </c>
      <c r="Q34" s="285">
        <f>SUM(Q32:Q33)</f>
        <v>70000000</v>
      </c>
      <c r="R34" s="285">
        <f>SUM(R32:R33)</f>
        <v>70000000</v>
      </c>
      <c r="S34" s="849">
        <f>SUM(S32:S33)</f>
        <v>120000000</v>
      </c>
      <c r="T34" s="285">
        <f t="shared" si="0"/>
        <v>50000000</v>
      </c>
    </row>
    <row r="35" spans="1:20" s="492" customFormat="1" ht="30.95" customHeight="1">
      <c r="A35" s="476">
        <v>270</v>
      </c>
      <c r="B35" s="280" t="s">
        <v>253</v>
      </c>
      <c r="C35" s="280">
        <f t="shared" ref="C35:J35" si="7">SUM(C26:C34)</f>
        <v>37516965</v>
      </c>
      <c r="D35" s="280">
        <f t="shared" si="7"/>
        <v>25545292</v>
      </c>
      <c r="E35" s="280">
        <f t="shared" si="7"/>
        <v>20571192</v>
      </c>
      <c r="F35" s="280">
        <f t="shared" si="7"/>
        <v>95142610</v>
      </c>
      <c r="G35" s="280">
        <f t="shared" si="7"/>
        <v>116480000</v>
      </c>
      <c r="H35" s="280">
        <f t="shared" si="7"/>
        <v>155600000</v>
      </c>
      <c r="I35" s="280">
        <f t="shared" si="7"/>
        <v>112416794</v>
      </c>
      <c r="J35" s="285">
        <f t="shared" si="7"/>
        <v>126647520</v>
      </c>
      <c r="K35" s="285">
        <v>0</v>
      </c>
      <c r="L35" s="285"/>
      <c r="M35" s="285"/>
      <c r="N35" s="285"/>
      <c r="O35" s="285"/>
      <c r="P35" s="285"/>
      <c r="Q35" s="285"/>
      <c r="R35" s="285"/>
      <c r="S35" s="849"/>
      <c r="T35" s="249">
        <f t="shared" si="0"/>
        <v>0</v>
      </c>
    </row>
    <row r="36" spans="1:20" s="492" customFormat="1" ht="30.95" customHeight="1">
      <c r="A36" s="476">
        <v>2710</v>
      </c>
      <c r="B36" s="280" t="s">
        <v>252</v>
      </c>
      <c r="C36" s="280" t="e">
        <f>C35+C25+C18+#REF!+#REF!</f>
        <v>#REF!</v>
      </c>
      <c r="D36" s="280" t="e">
        <f>D35+D25+D18+#REF!+#REF!</f>
        <v>#REF!</v>
      </c>
      <c r="E36" s="280" t="e">
        <f>E35+E25+E18+#REF!+#REF!</f>
        <v>#REF!</v>
      </c>
      <c r="F36" s="280" t="e">
        <f>F35+F25+F18+#REF!+#REF!</f>
        <v>#REF!</v>
      </c>
      <c r="G36" s="280" t="e">
        <f>G35+G25+G18+#REF!+#REF!</f>
        <v>#REF!</v>
      </c>
      <c r="H36" s="280" t="e">
        <f>H35+H25+H18+#REF!+#REF!</f>
        <v>#REF!</v>
      </c>
      <c r="I36" s="280" t="e">
        <f>I35+I25+I18+#REF!+#REF!</f>
        <v>#REF!</v>
      </c>
      <c r="J36" s="285" t="e">
        <f>J35+J25+J18+#REF!+#REF!</f>
        <v>#REF!</v>
      </c>
      <c r="K36" s="285" t="e">
        <f>K35+#REF!+K30+K24+K17+#REF!</f>
        <v>#REF!</v>
      </c>
      <c r="L36" s="285"/>
      <c r="M36" s="285"/>
      <c r="N36" s="285"/>
      <c r="O36" s="285"/>
      <c r="P36" s="285"/>
      <c r="Q36" s="285"/>
      <c r="R36" s="285"/>
      <c r="S36" s="849"/>
      <c r="T36" s="249">
        <f t="shared" si="0"/>
        <v>0</v>
      </c>
    </row>
    <row r="37" spans="1:20" ht="30.95" customHeight="1">
      <c r="A37" s="392">
        <v>27601</v>
      </c>
      <c r="B37" s="246" t="s">
        <v>286</v>
      </c>
      <c r="C37" s="292"/>
      <c r="D37" s="292" t="s">
        <v>4</v>
      </c>
      <c r="E37" s="292"/>
      <c r="F37" s="246">
        <v>0</v>
      </c>
      <c r="G37" s="292"/>
      <c r="H37" s="292"/>
      <c r="I37" s="292"/>
      <c r="J37" s="292"/>
      <c r="K37" s="292"/>
      <c r="L37" s="249">
        <v>25000000</v>
      </c>
      <c r="M37" s="249">
        <v>16896000</v>
      </c>
      <c r="N37" s="249">
        <v>0</v>
      </c>
      <c r="O37" s="249">
        <v>0</v>
      </c>
      <c r="P37" s="249">
        <v>30000000</v>
      </c>
      <c r="Q37" s="249">
        <v>10000000</v>
      </c>
      <c r="R37" s="249">
        <v>10000000</v>
      </c>
      <c r="S37" s="848">
        <v>75000000</v>
      </c>
      <c r="T37" s="249">
        <f t="shared" si="0"/>
        <v>65000000</v>
      </c>
    </row>
    <row r="38" spans="1:20" ht="30.95" customHeight="1">
      <c r="A38" s="392">
        <v>27402</v>
      </c>
      <c r="B38" s="246" t="s">
        <v>287</v>
      </c>
      <c r="C38" s="292"/>
      <c r="D38" s="274" t="s">
        <v>4</v>
      </c>
      <c r="E38" s="274"/>
      <c r="F38" s="246">
        <v>0</v>
      </c>
      <c r="G38" s="274"/>
      <c r="H38" s="274"/>
      <c r="I38" s="274"/>
      <c r="J38" s="274"/>
      <c r="K38" s="274"/>
      <c r="L38" s="249">
        <v>0</v>
      </c>
      <c r="M38" s="249">
        <v>160000000</v>
      </c>
      <c r="N38" s="249">
        <v>100000000</v>
      </c>
      <c r="O38" s="249">
        <v>120000000</v>
      </c>
      <c r="P38" s="249">
        <v>180000000</v>
      </c>
      <c r="Q38" s="249">
        <v>0</v>
      </c>
      <c r="R38" s="249">
        <v>250000000</v>
      </c>
      <c r="S38" s="848">
        <v>0</v>
      </c>
      <c r="T38" s="249">
        <f t="shared" si="0"/>
        <v>-250000000</v>
      </c>
    </row>
    <row r="39" spans="1:20" ht="30.95" customHeight="1">
      <c r="A39" s="392"/>
      <c r="B39" s="280" t="s">
        <v>92</v>
      </c>
      <c r="C39" s="292"/>
      <c r="D39" s="292"/>
      <c r="E39" s="292"/>
      <c r="F39" s="292">
        <f>1386274192-71600000-798000-176160000-12600000</f>
        <v>1125116192</v>
      </c>
      <c r="G39" s="292"/>
      <c r="H39" s="292"/>
      <c r="I39" s="292"/>
      <c r="J39" s="292"/>
      <c r="K39" s="292"/>
      <c r="L39" s="285">
        <f t="shared" ref="L39:P39" si="8">SUM(L37:L38)</f>
        <v>25000000</v>
      </c>
      <c r="M39" s="285">
        <f t="shared" si="8"/>
        <v>176896000</v>
      </c>
      <c r="N39" s="285">
        <f t="shared" si="8"/>
        <v>100000000</v>
      </c>
      <c r="O39" s="285">
        <f t="shared" si="8"/>
        <v>120000000</v>
      </c>
      <c r="P39" s="285">
        <f t="shared" si="8"/>
        <v>210000000</v>
      </c>
      <c r="Q39" s="285">
        <f>SUM(Q37:Q38)</f>
        <v>10000000</v>
      </c>
      <c r="R39" s="285">
        <f>SUM(R37:R38)</f>
        <v>260000000</v>
      </c>
      <c r="S39" s="849">
        <f>SUM(S37:S38)</f>
        <v>75000000</v>
      </c>
      <c r="T39" s="285">
        <f t="shared" si="0"/>
        <v>-185000000</v>
      </c>
    </row>
    <row r="40" spans="1:20" ht="30.95" customHeight="1">
      <c r="A40" s="558">
        <v>2720</v>
      </c>
      <c r="B40" s="521" t="s">
        <v>469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840"/>
      <c r="T40" s="249">
        <f t="shared" si="0"/>
        <v>0</v>
      </c>
    </row>
    <row r="41" spans="1:20" ht="30.95" customHeight="1">
      <c r="A41" s="392">
        <v>27202</v>
      </c>
      <c r="B41" s="246" t="s">
        <v>1223</v>
      </c>
      <c r="C41" s="280"/>
      <c r="D41" s="280"/>
      <c r="E41" s="280"/>
      <c r="F41" s="280"/>
      <c r="G41" s="280"/>
      <c r="H41" s="280"/>
      <c r="I41" s="280"/>
      <c r="J41" s="280"/>
      <c r="K41" s="246"/>
      <c r="L41" s="246">
        <v>199064000</v>
      </c>
      <c r="M41" s="246">
        <f>199064000*70%</f>
        <v>139344800</v>
      </c>
      <c r="N41" s="246">
        <f>199064000*70%</f>
        <v>139344800</v>
      </c>
      <c r="O41" s="246">
        <v>0</v>
      </c>
      <c r="P41" s="246">
        <v>0</v>
      </c>
      <c r="Q41" s="246">
        <v>400000000</v>
      </c>
      <c r="R41" s="246">
        <v>962500000</v>
      </c>
      <c r="S41" s="840">
        <v>700000000</v>
      </c>
      <c r="T41" s="249">
        <f t="shared" si="0"/>
        <v>-262500000</v>
      </c>
    </row>
    <row r="42" spans="1:20" ht="30.95" customHeight="1">
      <c r="A42" s="392"/>
      <c r="B42" s="280" t="s">
        <v>92</v>
      </c>
      <c r="C42" s="246"/>
      <c r="D42" s="246"/>
      <c r="E42" s="246"/>
      <c r="F42" s="246"/>
      <c r="G42" s="246"/>
      <c r="H42" s="246"/>
      <c r="I42" s="246"/>
      <c r="J42" s="280">
        <f t="shared" ref="J42:O42" si="9">SUM(J41)</f>
        <v>0</v>
      </c>
      <c r="K42" s="280">
        <f t="shared" si="9"/>
        <v>0</v>
      </c>
      <c r="L42" s="280">
        <f t="shared" si="9"/>
        <v>199064000</v>
      </c>
      <c r="M42" s="280">
        <f t="shared" si="9"/>
        <v>139344800</v>
      </c>
      <c r="N42" s="280">
        <f t="shared" si="9"/>
        <v>139344800</v>
      </c>
      <c r="O42" s="280">
        <f t="shared" si="9"/>
        <v>0</v>
      </c>
      <c r="P42" s="280">
        <f>SUM(P41)</f>
        <v>0</v>
      </c>
      <c r="Q42" s="280">
        <f>SUM(Q41)</f>
        <v>400000000</v>
      </c>
      <c r="R42" s="280">
        <f>SUM(R41)</f>
        <v>962500000</v>
      </c>
      <c r="S42" s="851">
        <f>SUM(S41)</f>
        <v>700000000</v>
      </c>
      <c r="T42" s="285">
        <f t="shared" si="0"/>
        <v>-262500000</v>
      </c>
    </row>
    <row r="43" spans="1:20" ht="30.95" customHeight="1">
      <c r="A43" s="392"/>
      <c r="B43" s="280" t="s">
        <v>37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79" t="e">
        <f>L39+L34+L30+L24+L8</f>
        <v>#REF!</v>
      </c>
      <c r="M43" s="279">
        <f t="shared" ref="M43:Q43" si="10">M42+M39+M34+M30+M24+M8</f>
        <v>3943026145.0714283</v>
      </c>
      <c r="N43" s="279">
        <f t="shared" si="10"/>
        <v>3806796061.0714283</v>
      </c>
      <c r="O43" s="279">
        <f t="shared" si="10"/>
        <v>2919452160.5</v>
      </c>
      <c r="P43" s="279">
        <f t="shared" si="10"/>
        <v>4750486480.5</v>
      </c>
      <c r="Q43" s="279">
        <f t="shared" si="10"/>
        <v>5271892226</v>
      </c>
      <c r="R43" s="279">
        <f>R42+R39+R34+R30+R24+R8</f>
        <v>6806362876</v>
      </c>
      <c r="S43" s="850">
        <f>S42+S39+S34+S30+S24+S8</f>
        <v>8102000696</v>
      </c>
      <c r="T43" s="285">
        <f t="shared" si="0"/>
        <v>1295637820</v>
      </c>
    </row>
    <row r="44" spans="1:20" ht="30.95" customHeight="1">
      <c r="N44" s="552"/>
      <c r="O44" s="552"/>
    </row>
    <row r="45" spans="1:20" ht="30.95" customHeight="1">
      <c r="N45" s="552"/>
      <c r="O45" s="552"/>
    </row>
    <row r="46" spans="1:20" ht="30.95" customHeight="1">
      <c r="N46" s="552"/>
      <c r="O46" s="552"/>
    </row>
    <row r="47" spans="1:20" ht="30.95" customHeight="1">
      <c r="N47" s="552"/>
      <c r="O47" s="552"/>
    </row>
    <row r="48" spans="1:20" ht="30.95" customHeight="1">
      <c r="N48" s="552"/>
      <c r="O48" s="552"/>
    </row>
    <row r="49" spans="14:15" ht="30.95" customHeight="1">
      <c r="N49" s="552"/>
      <c r="O49" s="552"/>
    </row>
    <row r="50" spans="14:15" ht="30.95" customHeight="1">
      <c r="N50" s="552"/>
      <c r="O50" s="552"/>
    </row>
    <row r="51" spans="14:15" ht="30.95" customHeight="1">
      <c r="N51" s="552"/>
      <c r="O51" s="552"/>
    </row>
    <row r="52" spans="14:15" ht="30.95" customHeight="1">
      <c r="N52" s="552"/>
      <c r="O52" s="552"/>
    </row>
    <row r="53" spans="14:15" ht="30.95" customHeight="1">
      <c r="N53" s="552"/>
      <c r="O53" s="552"/>
    </row>
    <row r="54" spans="14:15" ht="30.95" customHeight="1">
      <c r="N54" s="552"/>
      <c r="O54" s="552"/>
    </row>
    <row r="55" spans="14:15" ht="30.95" customHeight="1">
      <c r="N55" s="552"/>
      <c r="O55" s="552"/>
    </row>
    <row r="56" spans="14:15" ht="30.95" customHeight="1">
      <c r="N56" s="552"/>
      <c r="O56" s="552"/>
    </row>
    <row r="57" spans="14:15" ht="30.95" customHeight="1">
      <c r="N57" s="552"/>
      <c r="O57" s="552"/>
    </row>
    <row r="58" spans="14:15" ht="30.95" customHeight="1">
      <c r="N58" s="552"/>
      <c r="O58" s="552"/>
    </row>
    <row r="59" spans="14:15" ht="30.95" customHeight="1">
      <c r="N59" s="552"/>
      <c r="O59" s="552"/>
    </row>
    <row r="60" spans="14:15" ht="30.95" customHeight="1">
      <c r="N60" s="552"/>
      <c r="O60" s="552"/>
    </row>
    <row r="61" spans="14:15" ht="30.95" customHeight="1">
      <c r="N61" s="552"/>
      <c r="O61" s="552"/>
    </row>
    <row r="62" spans="14:15" ht="30.95" customHeight="1">
      <c r="N62" s="552"/>
      <c r="O62" s="552"/>
    </row>
    <row r="63" spans="14:15" ht="30.95" customHeight="1">
      <c r="N63" s="552"/>
      <c r="O63" s="552"/>
    </row>
    <row r="64" spans="14:15" ht="30.95" customHeight="1">
      <c r="N64" s="552"/>
      <c r="O64" s="552"/>
    </row>
    <row r="65" spans="14:15" ht="30.95" customHeight="1">
      <c r="N65" s="552"/>
      <c r="O65" s="552"/>
    </row>
    <row r="66" spans="14:15" ht="30.95" customHeight="1">
      <c r="N66" s="552"/>
      <c r="O66" s="552"/>
    </row>
    <row r="67" spans="14:15" ht="30.95" customHeight="1">
      <c r="N67" s="552"/>
      <c r="O67" s="552"/>
    </row>
    <row r="68" spans="14:15" ht="30.95" customHeight="1">
      <c r="N68" s="552"/>
      <c r="O68" s="552"/>
    </row>
    <row r="69" spans="14:15" ht="30.95" customHeight="1">
      <c r="N69" s="552"/>
      <c r="O69" s="552"/>
    </row>
    <row r="70" spans="14:15" ht="30.95" customHeight="1">
      <c r="N70" s="552"/>
      <c r="O70" s="552"/>
    </row>
    <row r="71" spans="14:15" ht="30.95" customHeight="1">
      <c r="N71" s="552"/>
      <c r="O71" s="552"/>
    </row>
    <row r="72" spans="14:15" ht="30.95" customHeight="1">
      <c r="N72" s="552"/>
      <c r="O72" s="552"/>
    </row>
    <row r="73" spans="14:15" ht="30.95" customHeight="1">
      <c r="N73" s="552"/>
      <c r="O73" s="552"/>
    </row>
    <row r="74" spans="14:15" ht="30.95" customHeight="1">
      <c r="N74" s="552"/>
      <c r="O74" s="552"/>
    </row>
    <row r="75" spans="14:15" ht="30.95" customHeight="1">
      <c r="N75" s="552"/>
      <c r="O75" s="552"/>
    </row>
    <row r="76" spans="14:15" ht="30.95" customHeight="1">
      <c r="N76" s="552"/>
      <c r="O76" s="552"/>
    </row>
    <row r="77" spans="14:15" ht="30.95" customHeight="1">
      <c r="N77" s="552"/>
      <c r="O77" s="552"/>
    </row>
    <row r="78" spans="14:15" ht="30.95" customHeight="1">
      <c r="N78" s="552"/>
      <c r="O78" s="552"/>
    </row>
    <row r="79" spans="14:15" ht="30.95" customHeight="1">
      <c r="N79" s="552"/>
      <c r="O79" s="552"/>
    </row>
    <row r="80" spans="14:15" ht="30.95" customHeight="1">
      <c r="N80" s="552"/>
      <c r="O80" s="552"/>
    </row>
    <row r="81" spans="14:15" ht="30.95" customHeight="1">
      <c r="N81" s="552"/>
      <c r="O81" s="552"/>
    </row>
    <row r="82" spans="14:15" ht="30.95" customHeight="1">
      <c r="N82" s="552"/>
      <c r="O82" s="552"/>
    </row>
    <row r="83" spans="14:15" ht="30.95" customHeight="1">
      <c r="N83" s="552"/>
      <c r="O83" s="552"/>
    </row>
    <row r="84" spans="14:15" ht="30.95" customHeight="1">
      <c r="N84" s="552"/>
      <c r="O84" s="552"/>
    </row>
    <row r="85" spans="14:15" ht="30.95" customHeight="1">
      <c r="N85" s="552"/>
      <c r="O85" s="552"/>
    </row>
    <row r="86" spans="14:15" ht="30.95" customHeight="1">
      <c r="N86" s="552"/>
      <c r="O86" s="552"/>
    </row>
    <row r="87" spans="14:15" ht="30.95" customHeight="1">
      <c r="N87" s="552"/>
      <c r="O87" s="552"/>
    </row>
    <row r="88" spans="14:15" ht="30.95" customHeight="1">
      <c r="N88" s="552"/>
      <c r="O88" s="552"/>
    </row>
    <row r="89" spans="14:15" ht="30.95" customHeight="1">
      <c r="N89" s="552"/>
      <c r="O89" s="552"/>
    </row>
    <row r="90" spans="14:15" ht="30.95" customHeight="1">
      <c r="N90" s="552"/>
      <c r="O90" s="552"/>
    </row>
    <row r="91" spans="14:15" ht="30.95" customHeight="1">
      <c r="N91" s="552"/>
      <c r="O91" s="552"/>
    </row>
    <row r="92" spans="14:15" ht="30.95" customHeight="1">
      <c r="N92" s="552"/>
      <c r="O92" s="552"/>
    </row>
    <row r="93" spans="14:15" ht="30.95" customHeight="1">
      <c r="N93" s="552"/>
      <c r="O93" s="552"/>
    </row>
    <row r="94" spans="14:15" ht="30.95" customHeight="1">
      <c r="N94" s="552"/>
      <c r="O94" s="552"/>
    </row>
    <row r="95" spans="14:15" ht="30.95" customHeight="1">
      <c r="N95" s="552"/>
      <c r="O95" s="552"/>
    </row>
    <row r="96" spans="14:15" ht="30.95" customHeight="1">
      <c r="N96" s="552"/>
      <c r="O96" s="552"/>
    </row>
    <row r="97" spans="14:15" ht="30.95" customHeight="1">
      <c r="N97" s="552"/>
      <c r="O97" s="552"/>
    </row>
    <row r="98" spans="14:15" ht="30.95" customHeight="1">
      <c r="N98" s="552"/>
      <c r="O98" s="552"/>
    </row>
    <row r="99" spans="14:15" ht="30.95" customHeight="1">
      <c r="N99" s="552"/>
      <c r="O99" s="552"/>
    </row>
    <row r="100" spans="14:15" ht="30.95" customHeight="1">
      <c r="N100" s="552"/>
      <c r="O100" s="552"/>
    </row>
    <row r="101" spans="14:15" ht="30.95" customHeight="1">
      <c r="N101" s="552"/>
      <c r="O101" s="552"/>
    </row>
    <row r="102" spans="14:15" ht="30.95" customHeight="1">
      <c r="N102" s="552"/>
      <c r="O102" s="552"/>
    </row>
    <row r="103" spans="14:15" ht="30.95" customHeight="1">
      <c r="N103" s="552"/>
      <c r="O103" s="552"/>
    </row>
    <row r="104" spans="14:15" ht="30.95" customHeight="1">
      <c r="N104" s="552"/>
      <c r="O104" s="552"/>
    </row>
    <row r="105" spans="14:15" ht="30.95" customHeight="1">
      <c r="N105" s="552"/>
      <c r="O105" s="552"/>
    </row>
    <row r="106" spans="14:15" ht="30.95" customHeight="1">
      <c r="N106" s="552"/>
      <c r="O106" s="552"/>
    </row>
    <row r="107" spans="14:15" ht="30.95" customHeight="1">
      <c r="N107" s="552"/>
      <c r="O107" s="552"/>
    </row>
    <row r="108" spans="14:15" ht="30.95" customHeight="1">
      <c r="N108" s="552"/>
      <c r="O108" s="552"/>
    </row>
    <row r="109" spans="14:15" ht="30.95" customHeight="1">
      <c r="N109" s="552"/>
      <c r="O109" s="552"/>
    </row>
    <row r="110" spans="14:15" ht="30.95" customHeight="1">
      <c r="N110" s="552"/>
      <c r="O110" s="552"/>
    </row>
    <row r="111" spans="14:15" ht="30.95" customHeight="1">
      <c r="N111" s="552"/>
      <c r="O111" s="552"/>
    </row>
    <row r="112" spans="14:15" ht="30.95" customHeight="1">
      <c r="N112" s="552"/>
      <c r="O112" s="552"/>
    </row>
    <row r="113" spans="14:15" ht="30.95" customHeight="1">
      <c r="N113" s="552"/>
      <c r="O113" s="552"/>
    </row>
    <row r="114" spans="14:15" ht="30.95" customHeight="1">
      <c r="N114" s="552"/>
      <c r="O114" s="552"/>
    </row>
    <row r="115" spans="14:15" ht="30.95" customHeight="1">
      <c r="N115" s="552"/>
      <c r="O115" s="552"/>
    </row>
    <row r="116" spans="14:15" ht="30.95" customHeight="1">
      <c r="N116" s="552"/>
      <c r="O116" s="552"/>
    </row>
    <row r="117" spans="14:15" ht="30.95" customHeight="1">
      <c r="N117" s="552"/>
      <c r="O117" s="552"/>
    </row>
    <row r="118" spans="14:15" ht="30.95" customHeight="1">
      <c r="N118" s="552"/>
      <c r="O118" s="552"/>
    </row>
    <row r="119" spans="14:15" ht="30.95" customHeight="1">
      <c r="N119" s="552"/>
      <c r="O119" s="552"/>
    </row>
    <row r="120" spans="14:15" ht="30.95" customHeight="1">
      <c r="N120" s="552"/>
      <c r="O120" s="552"/>
    </row>
    <row r="121" spans="14:15" ht="30.95" customHeight="1">
      <c r="N121" s="552"/>
      <c r="O121" s="552"/>
    </row>
    <row r="122" spans="14:15" ht="30.95" customHeight="1">
      <c r="N122" s="552"/>
      <c r="O122" s="552"/>
    </row>
    <row r="123" spans="14:15" ht="30.95" customHeight="1">
      <c r="N123" s="552"/>
      <c r="O123" s="552"/>
    </row>
    <row r="124" spans="14:15" ht="30.95" customHeight="1">
      <c r="N124" s="552"/>
      <c r="O124" s="552"/>
    </row>
    <row r="125" spans="14:15" ht="30.95" customHeight="1">
      <c r="N125" s="552"/>
      <c r="O125" s="552"/>
    </row>
    <row r="126" spans="14:15" ht="30.95" customHeight="1">
      <c r="N126" s="552"/>
      <c r="O126" s="552"/>
    </row>
    <row r="127" spans="14:15" ht="30.95" customHeight="1">
      <c r="N127" s="552"/>
      <c r="O127" s="552"/>
    </row>
    <row r="128" spans="14:15" ht="30.95" customHeight="1">
      <c r="N128" s="552"/>
      <c r="O128" s="552"/>
    </row>
    <row r="129" spans="14:15" ht="30.95" customHeight="1">
      <c r="N129" s="552"/>
      <c r="O129" s="552"/>
    </row>
    <row r="130" spans="14:15" ht="30.95" customHeight="1">
      <c r="N130" s="552"/>
      <c r="O130" s="552"/>
    </row>
    <row r="131" spans="14:15" ht="30.95" customHeight="1">
      <c r="N131" s="552"/>
      <c r="O131" s="552"/>
    </row>
    <row r="132" spans="14:15" ht="30.95" customHeight="1">
      <c r="N132" s="552"/>
      <c r="O132" s="552"/>
    </row>
    <row r="133" spans="14:15" ht="30.95" customHeight="1">
      <c r="N133" s="552"/>
      <c r="O133" s="552"/>
    </row>
    <row r="134" spans="14:15" ht="30.95" customHeight="1">
      <c r="N134" s="552"/>
      <c r="O134" s="552"/>
    </row>
    <row r="135" spans="14:15" ht="30.95" customHeight="1">
      <c r="N135" s="552"/>
      <c r="O135" s="552"/>
    </row>
    <row r="136" spans="14:15" ht="30.95" customHeight="1">
      <c r="N136" s="552"/>
      <c r="O136" s="552"/>
    </row>
    <row r="137" spans="14:15" ht="30.95" customHeight="1">
      <c r="N137" s="552"/>
      <c r="O137" s="552"/>
    </row>
    <row r="138" spans="14:15" ht="30.95" customHeight="1">
      <c r="N138" s="552"/>
      <c r="O138" s="552"/>
    </row>
    <row r="139" spans="14:15" ht="30.95" customHeight="1">
      <c r="N139" s="552"/>
      <c r="O139" s="552"/>
    </row>
    <row r="140" spans="14:15" ht="30.95" customHeight="1">
      <c r="N140" s="552"/>
      <c r="O140" s="552"/>
    </row>
    <row r="141" spans="14:15" ht="30.95" customHeight="1">
      <c r="N141" s="552"/>
      <c r="O141" s="552"/>
    </row>
    <row r="142" spans="14:15" ht="30.95" customHeight="1">
      <c r="N142" s="552"/>
      <c r="O142" s="552"/>
    </row>
    <row r="143" spans="14:15" ht="30.95" customHeight="1">
      <c r="N143" s="552"/>
      <c r="O143" s="552"/>
    </row>
    <row r="144" spans="14:15" ht="30.95" customHeight="1">
      <c r="N144" s="552"/>
      <c r="O144" s="552"/>
    </row>
    <row r="145" spans="14:15" ht="30.95" customHeight="1">
      <c r="N145" s="552"/>
      <c r="O145" s="552"/>
    </row>
    <row r="146" spans="14:15" ht="30.95" customHeight="1">
      <c r="N146" s="552"/>
      <c r="O146" s="552"/>
    </row>
    <row r="147" spans="14:15" ht="30.95" customHeight="1">
      <c r="N147" s="552"/>
      <c r="O147" s="552"/>
    </row>
    <row r="148" spans="14:15" ht="30.95" customHeight="1">
      <c r="N148" s="552"/>
      <c r="O148" s="552"/>
    </row>
    <row r="149" spans="14:15" ht="30.95" customHeight="1">
      <c r="N149" s="552"/>
      <c r="O149" s="552"/>
    </row>
    <row r="150" spans="14:15" ht="30.95" customHeight="1">
      <c r="N150" s="552"/>
      <c r="O150" s="552"/>
    </row>
    <row r="151" spans="14:15" ht="30.95" customHeight="1">
      <c r="N151" s="552"/>
      <c r="O151" s="552"/>
    </row>
    <row r="152" spans="14:15" ht="30.95" customHeight="1">
      <c r="N152" s="552"/>
      <c r="O152" s="552"/>
    </row>
    <row r="153" spans="14:15" ht="30.95" customHeight="1">
      <c r="N153" s="552"/>
      <c r="O153" s="552"/>
    </row>
    <row r="154" spans="14:15" ht="30.95" customHeight="1">
      <c r="N154" s="552"/>
      <c r="O154" s="552"/>
    </row>
    <row r="155" spans="14:15" ht="30.95" customHeight="1">
      <c r="N155" s="552"/>
      <c r="O155" s="552"/>
    </row>
    <row r="156" spans="14:15" ht="30.95" customHeight="1">
      <c r="N156" s="552"/>
      <c r="O156" s="552"/>
    </row>
    <row r="157" spans="14:15" ht="30.95" customHeight="1">
      <c r="N157" s="552"/>
      <c r="O157" s="552"/>
    </row>
    <row r="158" spans="14:15" ht="30.95" customHeight="1">
      <c r="N158" s="552"/>
      <c r="O158" s="552"/>
    </row>
    <row r="159" spans="14:15" ht="30.95" customHeight="1">
      <c r="N159" s="552"/>
      <c r="O159" s="552"/>
    </row>
    <row r="160" spans="14:15" ht="30.95" customHeight="1">
      <c r="N160" s="552"/>
      <c r="O160" s="552"/>
    </row>
    <row r="161" spans="14:15" ht="30.95" customHeight="1">
      <c r="N161" s="552"/>
      <c r="O161" s="552"/>
    </row>
    <row r="162" spans="14:15" ht="30.95" customHeight="1">
      <c r="N162" s="552"/>
      <c r="O162" s="552"/>
    </row>
    <row r="163" spans="14:15" ht="30.95" customHeight="1">
      <c r="N163" s="552"/>
      <c r="O163" s="552"/>
    </row>
    <row r="164" spans="14:15" ht="30.95" customHeight="1">
      <c r="N164" s="552"/>
      <c r="O164" s="552"/>
    </row>
    <row r="165" spans="14:15" ht="30.95" customHeight="1">
      <c r="N165" s="552"/>
      <c r="O165" s="552"/>
    </row>
    <row r="166" spans="14:15" ht="30.95" customHeight="1">
      <c r="N166" s="552"/>
      <c r="O166" s="552"/>
    </row>
    <row r="167" spans="14:15" ht="30.95" customHeight="1">
      <c r="N167" s="552"/>
      <c r="O167" s="552"/>
    </row>
    <row r="168" spans="14:15" ht="30.95" customHeight="1">
      <c r="N168" s="552"/>
      <c r="O168" s="552"/>
    </row>
    <row r="169" spans="14:15" ht="30.95" customHeight="1">
      <c r="N169" s="552"/>
      <c r="O169" s="552"/>
    </row>
    <row r="170" spans="14:15" ht="30.95" customHeight="1">
      <c r="N170" s="552"/>
      <c r="O170" s="552"/>
    </row>
    <row r="171" spans="14:15" ht="30.95" customHeight="1">
      <c r="N171" s="552"/>
      <c r="O171" s="552"/>
    </row>
    <row r="172" spans="14:15" ht="30.95" customHeight="1">
      <c r="N172" s="552"/>
      <c r="O172" s="552"/>
    </row>
    <row r="173" spans="14:15" ht="30.95" customHeight="1">
      <c r="N173" s="552"/>
      <c r="O173" s="552"/>
    </row>
    <row r="174" spans="14:15" ht="30.95" customHeight="1">
      <c r="N174" s="552"/>
      <c r="O174" s="552"/>
    </row>
    <row r="175" spans="14:15" ht="30.95" customHeight="1">
      <c r="N175" s="552"/>
      <c r="O175" s="552"/>
    </row>
    <row r="176" spans="14:15" ht="30.95" customHeight="1">
      <c r="N176" s="552"/>
      <c r="O176" s="552"/>
    </row>
    <row r="177" spans="14:15" ht="30.95" customHeight="1">
      <c r="N177" s="552"/>
      <c r="O177" s="552"/>
    </row>
    <row r="178" spans="14:15" ht="30.95" customHeight="1">
      <c r="N178" s="552"/>
      <c r="O178" s="552"/>
    </row>
    <row r="179" spans="14:15" ht="30.95" customHeight="1">
      <c r="N179" s="552"/>
      <c r="O179" s="552"/>
    </row>
    <row r="180" spans="14:15" ht="30.95" customHeight="1">
      <c r="N180" s="552"/>
      <c r="O180" s="552"/>
    </row>
    <row r="181" spans="14:15" ht="30.95" customHeight="1">
      <c r="N181" s="552"/>
      <c r="O181" s="552"/>
    </row>
    <row r="182" spans="14:15" ht="30.95" customHeight="1">
      <c r="N182" s="552"/>
      <c r="O182" s="552"/>
    </row>
    <row r="183" spans="14:15" ht="30.95" customHeight="1">
      <c r="N183" s="552"/>
      <c r="O183" s="552"/>
    </row>
    <row r="184" spans="14:15" ht="30.95" customHeight="1">
      <c r="N184" s="552"/>
      <c r="O184" s="552"/>
    </row>
    <row r="185" spans="14:15" ht="30.95" customHeight="1">
      <c r="N185" s="552"/>
      <c r="O185" s="552"/>
    </row>
    <row r="186" spans="14:15" ht="30.95" customHeight="1">
      <c r="N186" s="552"/>
      <c r="O186" s="552"/>
    </row>
    <row r="187" spans="14:15" ht="30.95" customHeight="1">
      <c r="N187" s="552"/>
      <c r="O187" s="552"/>
    </row>
    <row r="188" spans="14:15" ht="30.95" customHeight="1">
      <c r="N188" s="552"/>
      <c r="O188" s="552"/>
    </row>
    <row r="189" spans="14:15" ht="30.95" customHeight="1">
      <c r="N189" s="552"/>
      <c r="O189" s="552"/>
    </row>
    <row r="190" spans="14:15" ht="30.95" customHeight="1">
      <c r="N190" s="552"/>
      <c r="O190" s="552"/>
    </row>
    <row r="191" spans="14:15" ht="30.95" customHeight="1">
      <c r="N191" s="552"/>
      <c r="O191" s="552"/>
    </row>
    <row r="192" spans="14:15" ht="30.95" customHeight="1">
      <c r="N192" s="552"/>
      <c r="O192" s="552"/>
    </row>
    <row r="193" spans="14:15" ht="30.95" customHeight="1">
      <c r="N193" s="552"/>
      <c r="O193" s="552"/>
    </row>
    <row r="194" spans="14:15" ht="30.95" customHeight="1">
      <c r="N194" s="552"/>
      <c r="O194" s="552"/>
    </row>
    <row r="195" spans="14:15" ht="30.95" customHeight="1">
      <c r="N195" s="552"/>
      <c r="O195" s="552"/>
    </row>
    <row r="196" spans="14:15" ht="30.95" customHeight="1">
      <c r="N196" s="552"/>
      <c r="O196" s="552"/>
    </row>
    <row r="197" spans="14:15" ht="30.95" customHeight="1">
      <c r="N197" s="552"/>
      <c r="O197" s="552"/>
    </row>
    <row r="198" spans="14:15" ht="30.95" customHeight="1">
      <c r="N198" s="552"/>
      <c r="O198" s="552"/>
    </row>
    <row r="199" spans="14:15" ht="30.95" customHeight="1">
      <c r="N199" s="552"/>
      <c r="O199" s="552"/>
    </row>
    <row r="200" spans="14:15" ht="30.95" customHeight="1">
      <c r="N200" s="552"/>
      <c r="O200" s="552"/>
    </row>
    <row r="201" spans="14:15" ht="30.95" customHeight="1">
      <c r="N201" s="552"/>
      <c r="O201" s="552"/>
    </row>
    <row r="202" spans="14:15" ht="30.95" customHeight="1">
      <c r="N202" s="552"/>
      <c r="O202" s="552"/>
    </row>
    <row r="203" spans="14:15" ht="30.95" customHeight="1">
      <c r="N203" s="552"/>
      <c r="O203" s="552"/>
    </row>
    <row r="204" spans="14:15" ht="30.95" customHeight="1">
      <c r="N204" s="552"/>
      <c r="O204" s="552"/>
    </row>
    <row r="205" spans="14:15" ht="30.95" customHeight="1">
      <c r="N205" s="552"/>
      <c r="O205" s="552"/>
    </row>
    <row r="206" spans="14:15" ht="30.95" customHeight="1">
      <c r="N206" s="552"/>
      <c r="O206" s="552"/>
    </row>
    <row r="207" spans="14:15" ht="30.95" customHeight="1">
      <c r="N207" s="552"/>
      <c r="O207" s="552"/>
    </row>
    <row r="208" spans="14:15" ht="30.95" customHeight="1">
      <c r="N208" s="552"/>
      <c r="O208" s="552"/>
    </row>
    <row r="209" spans="14:15" ht="30.95" customHeight="1">
      <c r="N209" s="552"/>
      <c r="O209" s="552"/>
    </row>
    <row r="210" spans="14:15" ht="30.95" customHeight="1">
      <c r="N210" s="552"/>
      <c r="O210" s="552"/>
    </row>
    <row r="211" spans="14:15" ht="30.95" customHeight="1">
      <c r="N211" s="552"/>
      <c r="O211" s="552"/>
    </row>
    <row r="212" spans="14:15" ht="30.95" customHeight="1">
      <c r="N212" s="552"/>
      <c r="O212" s="552"/>
    </row>
    <row r="213" spans="14:15" ht="30.95" customHeight="1">
      <c r="N213" s="552"/>
      <c r="O213" s="552"/>
    </row>
    <row r="214" spans="14:15" ht="30.95" customHeight="1">
      <c r="N214" s="552"/>
      <c r="O214" s="552"/>
    </row>
    <row r="215" spans="14:15" ht="30.95" customHeight="1">
      <c r="N215" s="552"/>
      <c r="O215" s="552"/>
    </row>
    <row r="216" spans="14:15" ht="30.95" customHeight="1">
      <c r="N216" s="552"/>
      <c r="O216" s="552"/>
    </row>
    <row r="217" spans="14:15" ht="30.95" customHeight="1">
      <c r="N217" s="552"/>
      <c r="O217" s="552"/>
    </row>
    <row r="218" spans="14:15" ht="30.95" customHeight="1">
      <c r="N218" s="552"/>
      <c r="O218" s="552"/>
    </row>
    <row r="219" spans="14:15" ht="30.95" customHeight="1">
      <c r="N219" s="552"/>
      <c r="O219" s="552"/>
    </row>
    <row r="220" spans="14:15" ht="30.95" customHeight="1">
      <c r="N220" s="552"/>
      <c r="O220" s="552"/>
    </row>
    <row r="221" spans="14:15" ht="30.95" customHeight="1">
      <c r="N221" s="552"/>
      <c r="O221" s="552"/>
    </row>
    <row r="222" spans="14:15" ht="30.95" customHeight="1">
      <c r="N222" s="552"/>
      <c r="O222" s="552"/>
    </row>
    <row r="223" spans="14:15" ht="30.95" customHeight="1">
      <c r="N223" s="552"/>
      <c r="O223" s="552"/>
    </row>
    <row r="224" spans="14:15" ht="30.95" customHeight="1">
      <c r="N224" s="552"/>
      <c r="O224" s="552"/>
    </row>
    <row r="225" spans="14:15" ht="30.95" customHeight="1">
      <c r="N225" s="552"/>
      <c r="O225" s="552"/>
    </row>
    <row r="226" spans="14:15" ht="30.95" customHeight="1">
      <c r="N226" s="552"/>
      <c r="O226" s="552"/>
    </row>
    <row r="227" spans="14:15" ht="30.95" customHeight="1">
      <c r="N227" s="552"/>
      <c r="O227" s="552"/>
    </row>
    <row r="228" spans="14:15" ht="30.95" customHeight="1">
      <c r="N228" s="552"/>
      <c r="O228" s="552"/>
    </row>
    <row r="229" spans="14:15" ht="30.95" customHeight="1">
      <c r="N229" s="552"/>
      <c r="O229" s="552"/>
    </row>
    <row r="230" spans="14:15" ht="30.95" customHeight="1">
      <c r="N230" s="552"/>
      <c r="O230" s="552"/>
    </row>
    <row r="231" spans="14:15" ht="30.95" customHeight="1">
      <c r="N231" s="552"/>
      <c r="O231" s="552"/>
    </row>
    <row r="232" spans="14:15" ht="30.95" customHeight="1">
      <c r="N232" s="552"/>
      <c r="O232" s="552"/>
    </row>
    <row r="233" spans="14:15" ht="30.95" customHeight="1">
      <c r="N233" s="552"/>
      <c r="O233" s="552"/>
    </row>
    <row r="234" spans="14:15" ht="30.95" customHeight="1">
      <c r="N234" s="552"/>
      <c r="O234" s="552"/>
    </row>
    <row r="235" spans="14:15" ht="30.95" customHeight="1">
      <c r="N235" s="552"/>
      <c r="O235" s="552"/>
    </row>
    <row r="236" spans="14:15" ht="30.95" customHeight="1">
      <c r="N236" s="552"/>
      <c r="O236" s="552"/>
    </row>
    <row r="237" spans="14:15" ht="30.95" customHeight="1">
      <c r="N237" s="552"/>
      <c r="O237" s="552"/>
    </row>
    <row r="238" spans="14:15" ht="30.95" customHeight="1">
      <c r="N238" s="552"/>
      <c r="O238" s="552"/>
    </row>
    <row r="239" spans="14:15" ht="30.95" customHeight="1">
      <c r="N239" s="552"/>
      <c r="O239" s="552"/>
    </row>
    <row r="240" spans="14:15" ht="30.95" customHeight="1">
      <c r="N240" s="552"/>
      <c r="O240" s="552"/>
    </row>
    <row r="241" spans="14:15" ht="30.95" customHeight="1">
      <c r="N241" s="552"/>
      <c r="O241" s="552"/>
    </row>
    <row r="242" spans="14:15" ht="30.95" customHeight="1">
      <c r="N242" s="552"/>
      <c r="O242" s="552"/>
    </row>
    <row r="243" spans="14:15" ht="30.95" customHeight="1">
      <c r="N243" s="552"/>
      <c r="O243" s="552"/>
    </row>
    <row r="244" spans="14:15" ht="30.95" customHeight="1">
      <c r="N244" s="552"/>
      <c r="O244" s="552"/>
    </row>
    <row r="245" spans="14:15" ht="30.95" customHeight="1">
      <c r="N245" s="552"/>
      <c r="O245" s="552"/>
    </row>
    <row r="246" spans="14:15" ht="30.95" customHeight="1">
      <c r="N246" s="552"/>
      <c r="O246" s="552"/>
    </row>
    <row r="247" spans="14:15" ht="30.95" customHeight="1">
      <c r="N247" s="552"/>
      <c r="O247" s="552"/>
    </row>
    <row r="248" spans="14:15" ht="30.95" customHeight="1">
      <c r="N248" s="552"/>
      <c r="O248" s="552"/>
    </row>
    <row r="249" spans="14:15" ht="30.95" customHeight="1">
      <c r="N249" s="552"/>
      <c r="O249" s="552"/>
    </row>
    <row r="250" spans="14:15" ht="30.95" customHeight="1">
      <c r="N250" s="552"/>
      <c r="O250" s="552"/>
    </row>
    <row r="251" spans="14:15" ht="30.95" customHeight="1">
      <c r="N251" s="552"/>
      <c r="O251" s="552"/>
    </row>
    <row r="252" spans="14:15" ht="30.95" customHeight="1">
      <c r="N252" s="552"/>
      <c r="O252" s="552"/>
    </row>
    <row r="253" spans="14:15" ht="30.95" customHeight="1">
      <c r="N253" s="552"/>
      <c r="O253" s="552"/>
    </row>
    <row r="254" spans="14:15" ht="30.95" customHeight="1">
      <c r="N254" s="552"/>
      <c r="O254" s="552"/>
    </row>
    <row r="255" spans="14:15" ht="30.95" customHeight="1">
      <c r="N255" s="552"/>
      <c r="O255" s="552"/>
    </row>
    <row r="256" spans="14:15" ht="30.95" customHeight="1">
      <c r="N256" s="552"/>
      <c r="O256" s="552"/>
    </row>
    <row r="257" spans="14:15" ht="30.95" customHeight="1">
      <c r="N257" s="552"/>
      <c r="O257" s="552"/>
    </row>
    <row r="258" spans="14:15" ht="30.95" customHeight="1">
      <c r="N258" s="552"/>
      <c r="O258" s="552"/>
    </row>
    <row r="259" spans="14:15" ht="30.95" customHeight="1">
      <c r="N259" s="552"/>
      <c r="O259" s="552"/>
    </row>
    <row r="260" spans="14:15" ht="30.95" customHeight="1">
      <c r="N260" s="552"/>
      <c r="O260" s="552"/>
    </row>
    <row r="261" spans="14:15" ht="30.95" customHeight="1">
      <c r="N261" s="552"/>
      <c r="O261" s="552"/>
    </row>
    <row r="262" spans="14:15" ht="30.95" customHeight="1">
      <c r="N262" s="552"/>
      <c r="O262" s="552"/>
    </row>
    <row r="263" spans="14:15" ht="30.95" customHeight="1">
      <c r="N263" s="552"/>
      <c r="O263" s="552"/>
    </row>
    <row r="264" spans="14:15" ht="30.95" customHeight="1">
      <c r="N264" s="552"/>
      <c r="O264" s="552"/>
    </row>
    <row r="265" spans="14:15" ht="30.95" customHeight="1">
      <c r="N265" s="552"/>
      <c r="O265" s="552"/>
    </row>
    <row r="266" spans="14:15" ht="30.95" customHeight="1">
      <c r="N266" s="552"/>
      <c r="O266" s="552"/>
    </row>
    <row r="267" spans="14:15" ht="30.95" customHeight="1">
      <c r="N267" s="552"/>
      <c r="O267" s="552"/>
    </row>
    <row r="268" spans="14:15" ht="30.95" customHeight="1">
      <c r="N268" s="552"/>
      <c r="O268" s="552"/>
    </row>
    <row r="269" spans="14:15" ht="30.95" customHeight="1">
      <c r="N269" s="552"/>
      <c r="O269" s="552"/>
    </row>
    <row r="270" spans="14:15" ht="30.95" customHeight="1">
      <c r="N270" s="552"/>
      <c r="O270" s="552"/>
    </row>
    <row r="271" spans="14:15" ht="30.95" customHeight="1">
      <c r="N271" s="552"/>
      <c r="O271" s="552"/>
    </row>
    <row r="272" spans="14:15" ht="30.95" customHeight="1">
      <c r="N272" s="552"/>
      <c r="O272" s="552"/>
    </row>
    <row r="273" spans="14:15" ht="30.95" customHeight="1">
      <c r="N273" s="552"/>
      <c r="O273" s="552"/>
    </row>
    <row r="274" spans="14:15" ht="30.95" customHeight="1">
      <c r="N274" s="552"/>
      <c r="O274" s="552"/>
    </row>
    <row r="275" spans="14:15" ht="30.95" customHeight="1">
      <c r="N275" s="552"/>
      <c r="O275" s="552"/>
    </row>
    <row r="276" spans="14:15" ht="30.95" customHeight="1">
      <c r="N276" s="552"/>
      <c r="O276" s="552"/>
    </row>
    <row r="277" spans="14:15" ht="30.95" customHeight="1">
      <c r="N277" s="552"/>
      <c r="O277" s="552"/>
    </row>
    <row r="278" spans="14:15" ht="30.95" customHeight="1">
      <c r="N278" s="552"/>
      <c r="O278" s="552"/>
    </row>
    <row r="279" spans="14:15" ht="30.95" customHeight="1">
      <c r="N279" s="552"/>
      <c r="O279" s="552"/>
    </row>
    <row r="280" spans="14:15" ht="30.95" customHeight="1">
      <c r="N280" s="552"/>
      <c r="O280" s="552"/>
    </row>
    <row r="281" spans="14:15" ht="30.95" customHeight="1">
      <c r="N281" s="552"/>
      <c r="O281" s="552"/>
    </row>
    <row r="282" spans="14:15" ht="30.95" customHeight="1">
      <c r="N282" s="552"/>
      <c r="O282" s="552"/>
    </row>
    <row r="283" spans="14:15" ht="30.95" customHeight="1">
      <c r="N283" s="552"/>
      <c r="O283" s="552"/>
    </row>
    <row r="284" spans="14:15" ht="30.95" customHeight="1">
      <c r="N284" s="552"/>
      <c r="O284" s="552"/>
    </row>
    <row r="285" spans="14:15" ht="30.95" customHeight="1">
      <c r="N285" s="552"/>
      <c r="O285" s="552"/>
    </row>
    <row r="286" spans="14:15" ht="30.95" customHeight="1">
      <c r="N286" s="552"/>
      <c r="O286" s="552"/>
    </row>
    <row r="287" spans="14:15" ht="30.95" customHeight="1">
      <c r="N287" s="552"/>
      <c r="O287" s="552"/>
    </row>
    <row r="288" spans="14:15" ht="30.95" customHeight="1">
      <c r="N288" s="552"/>
      <c r="O288" s="552"/>
    </row>
    <row r="289" spans="14:15" ht="30.95" customHeight="1">
      <c r="N289" s="552"/>
      <c r="O289" s="552"/>
    </row>
    <row r="290" spans="14:15" ht="30.95" customHeight="1">
      <c r="N290" s="552"/>
      <c r="O290" s="552"/>
    </row>
    <row r="291" spans="14:15" ht="30.95" customHeight="1">
      <c r="N291" s="552"/>
      <c r="O291" s="552"/>
    </row>
    <row r="292" spans="14:15" ht="30.95" customHeight="1">
      <c r="N292" s="552"/>
      <c r="O292" s="552"/>
    </row>
    <row r="293" spans="14:15" ht="30.95" customHeight="1">
      <c r="N293" s="552"/>
      <c r="O293" s="552"/>
    </row>
    <row r="294" spans="14:15" ht="30.95" customHeight="1">
      <c r="N294" s="552"/>
      <c r="O294" s="552"/>
    </row>
    <row r="295" spans="14:15" ht="30.95" customHeight="1">
      <c r="N295" s="552"/>
      <c r="O295" s="552"/>
    </row>
    <row r="296" spans="14:15" ht="30.95" customHeight="1">
      <c r="N296" s="552"/>
      <c r="O296" s="552"/>
    </row>
    <row r="297" spans="14:15" ht="30.95" customHeight="1">
      <c r="N297" s="552"/>
      <c r="O297" s="552"/>
    </row>
    <row r="298" spans="14:15" ht="30.95" customHeight="1">
      <c r="N298" s="552"/>
      <c r="O298" s="552"/>
    </row>
    <row r="299" spans="14:15" ht="30.95" customHeight="1">
      <c r="N299" s="552"/>
      <c r="O299" s="552"/>
    </row>
    <row r="300" spans="14:15" ht="30.95" customHeight="1">
      <c r="N300" s="552"/>
      <c r="O300" s="552"/>
    </row>
    <row r="301" spans="14:15" ht="30.95" customHeight="1">
      <c r="N301" s="552"/>
      <c r="O301" s="552"/>
    </row>
    <row r="302" spans="14:15" ht="30.95" customHeight="1">
      <c r="N302" s="552"/>
      <c r="O302" s="552"/>
    </row>
    <row r="303" spans="14:15" ht="30.95" customHeight="1">
      <c r="N303" s="552"/>
      <c r="O303" s="552"/>
    </row>
    <row r="304" spans="14:15" ht="30.95" customHeight="1">
      <c r="N304" s="552"/>
      <c r="O304" s="552"/>
    </row>
    <row r="305" spans="14:15" ht="30.95" customHeight="1">
      <c r="N305" s="552"/>
      <c r="O305" s="552"/>
    </row>
    <row r="306" spans="14:15" ht="30.95" customHeight="1">
      <c r="N306" s="552"/>
      <c r="O306" s="552"/>
    </row>
    <row r="307" spans="14:15" ht="30.95" customHeight="1">
      <c r="N307" s="552"/>
      <c r="O307" s="552"/>
    </row>
    <row r="308" spans="14:15" ht="30.95" customHeight="1">
      <c r="N308" s="552"/>
      <c r="O308" s="552"/>
    </row>
    <row r="309" spans="14:15" ht="30.95" customHeight="1">
      <c r="N309" s="552"/>
      <c r="O309" s="552"/>
    </row>
    <row r="310" spans="14:15" ht="30.95" customHeight="1">
      <c r="N310" s="552"/>
      <c r="O310" s="552"/>
    </row>
    <row r="311" spans="14:15" ht="30.95" customHeight="1">
      <c r="N311" s="552"/>
      <c r="O311" s="552"/>
    </row>
    <row r="312" spans="14:15" ht="30.95" customHeight="1">
      <c r="N312" s="552"/>
      <c r="O312" s="552"/>
    </row>
    <row r="313" spans="14:15" ht="30.95" customHeight="1">
      <c r="N313" s="552"/>
      <c r="O313" s="552"/>
    </row>
    <row r="314" spans="14:15" ht="30.95" customHeight="1">
      <c r="N314" s="552"/>
      <c r="O314" s="552"/>
    </row>
    <row r="315" spans="14:15" ht="30.95" customHeight="1">
      <c r="N315" s="552"/>
      <c r="O315" s="552"/>
    </row>
    <row r="316" spans="14:15" ht="30.95" customHeight="1">
      <c r="N316" s="552"/>
      <c r="O316" s="552"/>
    </row>
    <row r="317" spans="14:15" ht="30.95" customHeight="1">
      <c r="N317" s="552"/>
      <c r="O317" s="552"/>
    </row>
    <row r="318" spans="14:15" ht="30.95" customHeight="1">
      <c r="N318" s="552"/>
      <c r="O318" s="552"/>
    </row>
    <row r="319" spans="14:15" ht="30.95" customHeight="1">
      <c r="N319" s="552"/>
      <c r="O319" s="552"/>
    </row>
    <row r="320" spans="14:15" ht="30.95" customHeight="1">
      <c r="N320" s="552"/>
      <c r="O320" s="552"/>
    </row>
    <row r="321" spans="14:15" ht="30.95" customHeight="1">
      <c r="N321" s="552"/>
      <c r="O321" s="552"/>
    </row>
    <row r="322" spans="14:15" ht="30.95" customHeight="1">
      <c r="N322" s="552"/>
      <c r="O322" s="552"/>
    </row>
    <row r="323" spans="14:15" ht="30.95" customHeight="1">
      <c r="N323" s="552"/>
      <c r="O323" s="552"/>
    </row>
    <row r="324" spans="14:15" ht="30.95" customHeight="1">
      <c r="N324" s="552"/>
      <c r="O324" s="552"/>
    </row>
    <row r="325" spans="14:15" ht="30.95" customHeight="1">
      <c r="N325" s="552"/>
      <c r="O325" s="552"/>
    </row>
    <row r="326" spans="14:15" ht="30.95" customHeight="1">
      <c r="N326" s="552"/>
      <c r="O326" s="552"/>
    </row>
    <row r="327" spans="14:15" ht="30.95" customHeight="1">
      <c r="N327" s="552"/>
      <c r="O327" s="552"/>
    </row>
    <row r="328" spans="14:15" ht="30.95" customHeight="1">
      <c r="N328" s="552"/>
      <c r="O328" s="552"/>
    </row>
    <row r="329" spans="14:15" ht="30.95" customHeight="1">
      <c r="N329" s="552"/>
      <c r="O329" s="552"/>
    </row>
    <row r="330" spans="14:15" ht="30.95" customHeight="1">
      <c r="N330" s="552"/>
      <c r="O330" s="552"/>
    </row>
    <row r="331" spans="14:15" ht="30.95" customHeight="1">
      <c r="N331" s="552"/>
      <c r="O331" s="552"/>
    </row>
    <row r="332" spans="14:15" ht="30.95" customHeight="1">
      <c r="N332" s="552"/>
      <c r="O332" s="552"/>
    </row>
    <row r="333" spans="14:15" ht="30.95" customHeight="1">
      <c r="N333" s="552"/>
      <c r="O333" s="552"/>
    </row>
    <row r="334" spans="14:15" ht="30.95" customHeight="1">
      <c r="N334" s="552"/>
      <c r="O334" s="552"/>
    </row>
    <row r="335" spans="14:15" ht="30.95" customHeight="1">
      <c r="N335" s="552"/>
      <c r="O335" s="552"/>
    </row>
    <row r="336" spans="14:15" ht="30.95" customHeight="1">
      <c r="N336" s="552"/>
      <c r="O336" s="552"/>
    </row>
    <row r="337" spans="14:15" ht="30.95" customHeight="1">
      <c r="N337" s="552"/>
      <c r="O337" s="552"/>
    </row>
    <row r="338" spans="14:15" ht="30.95" customHeight="1">
      <c r="N338" s="552"/>
      <c r="O338" s="552"/>
    </row>
    <row r="339" spans="14:15" ht="30.95" customHeight="1">
      <c r="N339" s="552"/>
      <c r="O339" s="552"/>
    </row>
    <row r="340" spans="14:15" ht="30.95" customHeight="1">
      <c r="N340" s="552"/>
      <c r="O340" s="552"/>
    </row>
    <row r="341" spans="14:15" ht="30.95" customHeight="1">
      <c r="N341" s="552"/>
      <c r="O341" s="552"/>
    </row>
    <row r="342" spans="14:15" ht="30.95" customHeight="1">
      <c r="N342" s="552"/>
      <c r="O342" s="552"/>
    </row>
    <row r="343" spans="14:15" ht="30.95" customHeight="1">
      <c r="N343" s="552"/>
      <c r="O343" s="552"/>
    </row>
    <row r="344" spans="14:15" ht="30.95" customHeight="1">
      <c r="N344" s="552"/>
      <c r="O344" s="552"/>
    </row>
    <row r="345" spans="14:15" ht="30.95" customHeight="1">
      <c r="N345" s="552"/>
      <c r="O345" s="552"/>
    </row>
    <row r="346" spans="14:15" ht="30.95" customHeight="1">
      <c r="N346" s="552"/>
      <c r="O346" s="552"/>
    </row>
    <row r="347" spans="14:15" ht="30.95" customHeight="1">
      <c r="N347" s="552"/>
      <c r="O347" s="552"/>
    </row>
    <row r="348" spans="14:15" ht="30.95" customHeight="1">
      <c r="N348" s="552"/>
      <c r="O348" s="552"/>
    </row>
    <row r="349" spans="14:15" ht="30.95" customHeight="1">
      <c r="N349" s="552"/>
      <c r="O349" s="552"/>
    </row>
    <row r="350" spans="14:15" ht="30.95" customHeight="1">
      <c r="N350" s="552"/>
      <c r="O350" s="552"/>
    </row>
    <row r="351" spans="14:15" ht="30.95" customHeight="1">
      <c r="N351" s="552"/>
      <c r="O351" s="552"/>
    </row>
    <row r="352" spans="14:15" ht="30.95" customHeight="1">
      <c r="N352" s="552"/>
      <c r="O352" s="552"/>
    </row>
    <row r="353" spans="14:15" ht="30.95" customHeight="1">
      <c r="N353" s="552"/>
      <c r="O353" s="552"/>
    </row>
    <row r="354" spans="14:15" ht="30.95" customHeight="1">
      <c r="N354" s="552"/>
      <c r="O354" s="552"/>
    </row>
    <row r="355" spans="14:15" ht="30.95" customHeight="1">
      <c r="N355" s="552"/>
      <c r="O355" s="552"/>
    </row>
    <row r="356" spans="14:15" ht="30.95" customHeight="1">
      <c r="N356" s="552"/>
      <c r="O356" s="552"/>
    </row>
    <row r="357" spans="14:15" ht="30.95" customHeight="1">
      <c r="N357" s="552"/>
      <c r="O357" s="552"/>
    </row>
    <row r="358" spans="14:15" ht="30.95" customHeight="1">
      <c r="N358" s="552"/>
      <c r="O358" s="552"/>
    </row>
    <row r="359" spans="14:15" ht="30.95" customHeight="1">
      <c r="N359" s="552"/>
      <c r="O359" s="552"/>
    </row>
    <row r="360" spans="14:15" ht="30.95" customHeight="1">
      <c r="N360" s="552"/>
      <c r="O360" s="552"/>
    </row>
    <row r="361" spans="14:15" ht="30.95" customHeight="1">
      <c r="N361" s="552"/>
      <c r="O361" s="552"/>
    </row>
    <row r="362" spans="14:15" ht="30.95" customHeight="1">
      <c r="N362" s="552"/>
      <c r="O362" s="552"/>
    </row>
    <row r="363" spans="14:15" ht="30.95" customHeight="1">
      <c r="N363" s="552"/>
      <c r="O363" s="552"/>
    </row>
    <row r="364" spans="14:15" ht="30.95" customHeight="1">
      <c r="N364" s="552"/>
      <c r="O364" s="552"/>
    </row>
    <row r="365" spans="14:15" ht="30.95" customHeight="1">
      <c r="N365" s="552"/>
      <c r="O365" s="552"/>
    </row>
    <row r="366" spans="14:15" ht="30.95" customHeight="1">
      <c r="N366" s="552"/>
      <c r="O366" s="552"/>
    </row>
    <row r="367" spans="14:15" ht="30.95" customHeight="1">
      <c r="N367" s="552"/>
      <c r="O367" s="552"/>
    </row>
    <row r="368" spans="14:15" ht="30.95" customHeight="1">
      <c r="N368" s="552"/>
      <c r="O368" s="552"/>
    </row>
    <row r="369" spans="14:15" ht="30.95" customHeight="1">
      <c r="N369" s="552"/>
      <c r="O369" s="552"/>
    </row>
    <row r="370" spans="14:15" ht="30.95" customHeight="1">
      <c r="N370" s="552"/>
      <c r="O370" s="552"/>
    </row>
    <row r="371" spans="14:15" ht="30.95" customHeight="1">
      <c r="N371" s="552"/>
      <c r="O371" s="552"/>
    </row>
    <row r="372" spans="14:15" ht="30.95" customHeight="1">
      <c r="N372" s="552"/>
      <c r="O372" s="552"/>
    </row>
    <row r="373" spans="14:15" ht="30.95" customHeight="1">
      <c r="N373" s="552"/>
      <c r="O373" s="552"/>
    </row>
    <row r="374" spans="14:15" ht="30.95" customHeight="1">
      <c r="N374" s="552"/>
      <c r="O374" s="552"/>
    </row>
    <row r="375" spans="14:15" ht="30.95" customHeight="1">
      <c r="N375" s="552"/>
      <c r="O375" s="552"/>
    </row>
    <row r="376" spans="14:15" ht="30.95" customHeight="1">
      <c r="N376" s="552"/>
      <c r="O376" s="552"/>
    </row>
    <row r="377" spans="14:15" ht="30.95" customHeight="1">
      <c r="N377" s="552"/>
      <c r="O377" s="552"/>
    </row>
    <row r="378" spans="14:15" ht="30.95" customHeight="1">
      <c r="N378" s="552"/>
      <c r="O378" s="552"/>
    </row>
    <row r="379" spans="14:15" ht="30.95" customHeight="1">
      <c r="N379" s="552"/>
      <c r="O379" s="552"/>
    </row>
    <row r="380" spans="14:15" ht="30.95" customHeight="1">
      <c r="N380" s="552"/>
      <c r="O380" s="552"/>
    </row>
    <row r="381" spans="14:15" ht="30.95" customHeight="1">
      <c r="N381" s="552"/>
      <c r="O381" s="552"/>
    </row>
    <row r="382" spans="14:15" ht="30.95" customHeight="1">
      <c r="N382" s="552"/>
      <c r="O382" s="552"/>
    </row>
    <row r="383" spans="14:15" ht="30.95" customHeight="1">
      <c r="N383" s="552"/>
      <c r="O383" s="552"/>
    </row>
    <row r="384" spans="14:15" ht="30.95" customHeight="1">
      <c r="N384" s="552"/>
      <c r="O384" s="552"/>
    </row>
    <row r="385" spans="14:15" ht="30.95" customHeight="1">
      <c r="N385" s="552"/>
      <c r="O385" s="552"/>
    </row>
    <row r="386" spans="14:15" ht="30.95" customHeight="1">
      <c r="N386" s="552"/>
      <c r="O386" s="552"/>
    </row>
    <row r="387" spans="14:15" ht="30.95" customHeight="1">
      <c r="N387" s="552"/>
      <c r="O387" s="552"/>
    </row>
    <row r="388" spans="14:15" ht="30.95" customHeight="1">
      <c r="N388" s="552"/>
      <c r="O388" s="552"/>
    </row>
    <row r="389" spans="14:15" ht="30.95" customHeight="1">
      <c r="N389" s="552"/>
      <c r="O389" s="552"/>
    </row>
    <row r="390" spans="14:15" ht="30.95" customHeight="1">
      <c r="N390" s="552"/>
      <c r="O390" s="552"/>
    </row>
    <row r="391" spans="14:15" ht="30.95" customHeight="1">
      <c r="N391" s="552"/>
      <c r="O391" s="552"/>
    </row>
    <row r="392" spans="14:15" ht="30.95" customHeight="1">
      <c r="N392" s="552"/>
      <c r="O392" s="552"/>
    </row>
    <row r="393" spans="14:15" ht="30.95" customHeight="1">
      <c r="N393" s="552"/>
      <c r="O393" s="552"/>
    </row>
    <row r="394" spans="14:15" ht="30.95" customHeight="1">
      <c r="N394" s="552"/>
      <c r="O394" s="552"/>
    </row>
    <row r="395" spans="14:15" ht="30.95" customHeight="1">
      <c r="N395" s="552"/>
      <c r="O395" s="552"/>
    </row>
    <row r="396" spans="14:15" ht="30.95" customHeight="1">
      <c r="N396" s="552"/>
      <c r="O396" s="552"/>
    </row>
    <row r="397" spans="14:15" ht="30.95" customHeight="1">
      <c r="N397" s="552"/>
      <c r="O397" s="552"/>
    </row>
    <row r="398" spans="14:15" ht="30.95" customHeight="1">
      <c r="N398" s="552"/>
      <c r="O398" s="552"/>
    </row>
    <row r="399" spans="14:15" ht="30.95" customHeight="1">
      <c r="N399" s="552"/>
      <c r="O399" s="552"/>
    </row>
    <row r="400" spans="14:15" ht="30.95" customHeight="1">
      <c r="N400" s="552"/>
      <c r="O400" s="552"/>
    </row>
    <row r="401" spans="14:15" ht="30.95" customHeight="1">
      <c r="N401" s="552"/>
      <c r="O401" s="552"/>
    </row>
    <row r="402" spans="14:15" ht="30.95" customHeight="1">
      <c r="N402" s="552"/>
      <c r="O402" s="552"/>
    </row>
    <row r="403" spans="14:15" ht="30.95" customHeight="1">
      <c r="N403" s="552"/>
      <c r="O403" s="552"/>
    </row>
    <row r="404" spans="14:15" ht="30.95" customHeight="1">
      <c r="N404" s="552"/>
      <c r="O404" s="552"/>
    </row>
    <row r="405" spans="14:15" ht="30.95" customHeight="1">
      <c r="N405" s="552"/>
      <c r="O405" s="552"/>
    </row>
    <row r="406" spans="14:15" ht="30.95" customHeight="1">
      <c r="N406" s="552"/>
      <c r="O406" s="552"/>
    </row>
    <row r="407" spans="14:15" ht="30.95" customHeight="1">
      <c r="N407" s="552"/>
      <c r="O407" s="552"/>
    </row>
    <row r="408" spans="14:15" ht="30.95" customHeight="1">
      <c r="N408" s="552"/>
      <c r="O408" s="552"/>
    </row>
    <row r="409" spans="14:15" ht="30.95" customHeight="1">
      <c r="N409" s="552"/>
      <c r="O409" s="552"/>
    </row>
    <row r="410" spans="14:15" ht="30.95" customHeight="1">
      <c r="N410" s="552"/>
      <c r="O410" s="552"/>
    </row>
    <row r="411" spans="14:15" ht="30.95" customHeight="1">
      <c r="N411" s="552"/>
      <c r="O411" s="552"/>
    </row>
    <row r="412" spans="14:15" ht="30.95" customHeight="1">
      <c r="N412" s="552"/>
      <c r="O412" s="552"/>
    </row>
    <row r="413" spans="14:15" ht="30.95" customHeight="1">
      <c r="N413" s="552"/>
      <c r="O413" s="552"/>
    </row>
    <row r="414" spans="14:15" ht="30.95" customHeight="1">
      <c r="N414" s="552"/>
      <c r="O414" s="552"/>
    </row>
    <row r="415" spans="14:15" ht="30.95" customHeight="1">
      <c r="N415" s="552"/>
      <c r="O415" s="552"/>
    </row>
    <row r="416" spans="14:15" ht="30.95" customHeight="1">
      <c r="N416" s="552"/>
      <c r="O416" s="552"/>
    </row>
    <row r="417" spans="14:15" ht="30.95" customHeight="1">
      <c r="N417" s="552"/>
      <c r="O417" s="552"/>
    </row>
    <row r="418" spans="14:15" ht="30.95" customHeight="1">
      <c r="N418" s="552"/>
      <c r="O418" s="552"/>
    </row>
    <row r="419" spans="14:15" ht="30.95" customHeight="1">
      <c r="N419" s="552"/>
      <c r="O419" s="552"/>
    </row>
    <row r="420" spans="14:15" ht="30.95" customHeight="1">
      <c r="N420" s="552"/>
      <c r="O420" s="552"/>
    </row>
    <row r="421" spans="14:15" ht="30.95" customHeight="1">
      <c r="N421" s="552"/>
      <c r="O421" s="552"/>
    </row>
    <row r="422" spans="14:15" ht="30.95" customHeight="1">
      <c r="N422" s="552"/>
      <c r="O422" s="552"/>
    </row>
    <row r="423" spans="14:15" ht="30.95" customHeight="1">
      <c r="N423" s="552"/>
      <c r="O423" s="552"/>
    </row>
    <row r="424" spans="14:15" ht="30.95" customHeight="1">
      <c r="N424" s="552"/>
      <c r="O424" s="552"/>
    </row>
    <row r="425" spans="14:15" ht="30.95" customHeight="1">
      <c r="N425" s="552"/>
      <c r="O425" s="552"/>
    </row>
    <row r="426" spans="14:15" ht="30.95" customHeight="1">
      <c r="N426" s="552"/>
      <c r="O426" s="552"/>
    </row>
    <row r="427" spans="14:15" ht="30.95" customHeight="1">
      <c r="N427" s="552"/>
      <c r="O427" s="552"/>
    </row>
    <row r="428" spans="14:15" ht="30.95" customHeight="1">
      <c r="N428" s="552"/>
      <c r="O428" s="552"/>
    </row>
    <row r="429" spans="14:15" ht="30.95" customHeight="1">
      <c r="N429" s="552"/>
      <c r="O429" s="552"/>
    </row>
    <row r="430" spans="14:15" ht="30.95" customHeight="1">
      <c r="N430" s="552"/>
      <c r="O430" s="552"/>
    </row>
    <row r="431" spans="14:15" ht="30.95" customHeight="1">
      <c r="N431" s="552"/>
      <c r="O431" s="552"/>
    </row>
    <row r="432" spans="14:15" ht="30.95" customHeight="1">
      <c r="N432" s="552"/>
      <c r="O432" s="552"/>
    </row>
    <row r="433" spans="14:15" ht="30.95" customHeight="1">
      <c r="N433" s="552"/>
      <c r="O433" s="552"/>
    </row>
    <row r="434" spans="14:15" ht="30.95" customHeight="1">
      <c r="N434" s="552"/>
      <c r="O434" s="552"/>
    </row>
    <row r="435" spans="14:15" ht="30.95" customHeight="1">
      <c r="N435" s="552"/>
      <c r="O435" s="552"/>
    </row>
    <row r="436" spans="14:15" ht="30.95" customHeight="1">
      <c r="N436" s="552"/>
      <c r="O436" s="552"/>
    </row>
    <row r="437" spans="14:15" ht="30.95" customHeight="1">
      <c r="N437" s="552"/>
      <c r="O437" s="552"/>
    </row>
    <row r="438" spans="14:15" ht="30.95" customHeight="1">
      <c r="N438" s="552"/>
      <c r="O438" s="552"/>
    </row>
    <row r="439" spans="14:15" ht="30.95" customHeight="1">
      <c r="N439" s="552"/>
      <c r="O439" s="552"/>
    </row>
    <row r="440" spans="14:15" ht="30.95" customHeight="1">
      <c r="N440" s="552"/>
      <c r="O440" s="552"/>
    </row>
    <row r="441" spans="14:15" ht="30.95" customHeight="1">
      <c r="N441" s="552"/>
      <c r="O441" s="552"/>
    </row>
    <row r="442" spans="14:15" ht="30.95" customHeight="1">
      <c r="N442" s="552"/>
      <c r="O442" s="552"/>
    </row>
    <row r="443" spans="14:15" ht="30.95" customHeight="1">
      <c r="N443" s="552"/>
      <c r="O443" s="552"/>
    </row>
    <row r="444" spans="14:15" ht="30.95" customHeight="1">
      <c r="N444" s="552"/>
      <c r="O444" s="552"/>
    </row>
    <row r="445" spans="14:15" ht="30.95" customHeight="1">
      <c r="N445" s="552"/>
      <c r="O445" s="552"/>
    </row>
    <row r="446" spans="14:15" ht="30.95" customHeight="1">
      <c r="N446" s="552"/>
      <c r="O446" s="552"/>
    </row>
    <row r="447" spans="14:15" ht="30.95" customHeight="1">
      <c r="N447" s="552"/>
      <c r="O447" s="552"/>
    </row>
    <row r="448" spans="14:15" ht="30.95" customHeight="1">
      <c r="N448" s="552"/>
      <c r="O448" s="552"/>
    </row>
    <row r="449" spans="14:15" ht="30.95" customHeight="1">
      <c r="N449" s="552"/>
      <c r="O449" s="552"/>
    </row>
    <row r="450" spans="14:15" ht="30.95" customHeight="1">
      <c r="N450" s="552"/>
      <c r="O450" s="552"/>
    </row>
    <row r="451" spans="14:15" ht="30.95" customHeight="1">
      <c r="N451" s="552"/>
      <c r="O451" s="552"/>
    </row>
    <row r="452" spans="14:15" ht="30.95" customHeight="1">
      <c r="N452" s="552"/>
      <c r="O452" s="552"/>
    </row>
    <row r="453" spans="14:15" ht="30.95" customHeight="1">
      <c r="N453" s="552"/>
      <c r="O453" s="552"/>
    </row>
    <row r="454" spans="14:15" ht="30.95" customHeight="1">
      <c r="N454" s="552"/>
      <c r="O454" s="552"/>
    </row>
    <row r="455" spans="14:15" ht="30.95" customHeight="1">
      <c r="N455" s="552"/>
      <c r="O455" s="552"/>
    </row>
    <row r="456" spans="14:15" ht="30.95" customHeight="1">
      <c r="N456" s="552"/>
      <c r="O456" s="552"/>
    </row>
    <row r="457" spans="14:15" ht="30.95" customHeight="1">
      <c r="N457" s="552"/>
      <c r="O457" s="552"/>
    </row>
    <row r="458" spans="14:15" ht="30.95" customHeight="1">
      <c r="N458" s="552"/>
      <c r="O458" s="552"/>
    </row>
    <row r="459" spans="14:15" ht="30.95" customHeight="1">
      <c r="N459" s="552"/>
      <c r="O459" s="552"/>
    </row>
    <row r="460" spans="14:15" ht="30.95" customHeight="1">
      <c r="N460" s="552"/>
      <c r="O460" s="552"/>
    </row>
    <row r="461" spans="14:15" ht="30.95" customHeight="1">
      <c r="N461" s="552"/>
      <c r="O461" s="552"/>
    </row>
    <row r="462" spans="14:15" ht="30.95" customHeight="1">
      <c r="N462" s="552"/>
      <c r="O462" s="552"/>
    </row>
    <row r="463" spans="14:15" ht="30.95" customHeight="1">
      <c r="N463" s="552"/>
      <c r="O463" s="552"/>
    </row>
    <row r="464" spans="14:15" ht="30.95" customHeight="1">
      <c r="N464" s="552"/>
      <c r="O464" s="552"/>
    </row>
    <row r="465" spans="14:15" ht="30.95" customHeight="1">
      <c r="N465" s="552"/>
      <c r="O465" s="552"/>
    </row>
    <row r="466" spans="14:15" ht="30.95" customHeight="1">
      <c r="N466" s="552"/>
      <c r="O466" s="552"/>
    </row>
    <row r="467" spans="14:15" ht="30.95" customHeight="1">
      <c r="N467" s="552"/>
      <c r="O467" s="552"/>
    </row>
    <row r="468" spans="14:15" ht="30.95" customHeight="1">
      <c r="N468" s="552"/>
      <c r="O468" s="552"/>
    </row>
    <row r="469" spans="14:15" ht="30.95" customHeight="1">
      <c r="N469" s="552"/>
      <c r="O469" s="552"/>
    </row>
    <row r="470" spans="14:15" ht="30.95" customHeight="1">
      <c r="N470" s="552"/>
      <c r="O470" s="552"/>
    </row>
    <row r="471" spans="14:15" ht="30.95" customHeight="1">
      <c r="N471" s="552"/>
      <c r="O471" s="552"/>
    </row>
    <row r="472" spans="14:15" ht="30.95" customHeight="1">
      <c r="N472" s="552"/>
      <c r="O472" s="552"/>
    </row>
    <row r="473" spans="14:15" ht="30.95" customHeight="1">
      <c r="N473" s="552"/>
      <c r="O473" s="552"/>
    </row>
    <row r="474" spans="14:15" ht="30.95" customHeight="1">
      <c r="N474" s="552"/>
      <c r="O474" s="552"/>
    </row>
    <row r="475" spans="14:15" ht="30.95" customHeight="1">
      <c r="N475" s="552"/>
      <c r="O475" s="552"/>
    </row>
    <row r="476" spans="14:15" ht="30.95" customHeight="1">
      <c r="N476" s="552"/>
      <c r="O476" s="552"/>
    </row>
    <row r="477" spans="14:15" ht="30.95" customHeight="1">
      <c r="N477" s="552"/>
      <c r="O477" s="552"/>
    </row>
    <row r="478" spans="14:15" ht="30.95" customHeight="1">
      <c r="N478" s="552"/>
      <c r="O478" s="552"/>
    </row>
    <row r="479" spans="14:15" ht="30.95" customHeight="1">
      <c r="N479" s="552"/>
      <c r="O479" s="552"/>
    </row>
    <row r="480" spans="14:15" ht="30.95" customHeight="1">
      <c r="N480" s="552"/>
      <c r="O480" s="552"/>
    </row>
    <row r="481" spans="14:15" ht="30.95" customHeight="1">
      <c r="N481" s="552"/>
      <c r="O481" s="552"/>
    </row>
    <row r="482" spans="14:15" ht="30.95" customHeight="1">
      <c r="N482" s="552"/>
      <c r="O482" s="552"/>
    </row>
    <row r="483" spans="14:15" ht="30.95" customHeight="1">
      <c r="N483" s="552"/>
      <c r="O483" s="552"/>
    </row>
    <row r="484" spans="14:15" ht="30.95" customHeight="1">
      <c r="N484" s="552"/>
      <c r="O484" s="552"/>
    </row>
    <row r="485" spans="14:15" ht="30.95" customHeight="1">
      <c r="N485" s="552"/>
      <c r="O485" s="552"/>
    </row>
    <row r="486" spans="14:15" ht="30.95" customHeight="1">
      <c r="N486" s="552"/>
      <c r="O486" s="552"/>
    </row>
    <row r="487" spans="14:15" ht="30.95" customHeight="1">
      <c r="N487" s="552"/>
      <c r="O487" s="552"/>
    </row>
    <row r="488" spans="14:15" ht="30.95" customHeight="1">
      <c r="N488" s="552"/>
      <c r="O488" s="552"/>
    </row>
    <row r="489" spans="14:15" ht="30.95" customHeight="1">
      <c r="N489" s="552"/>
      <c r="O489" s="552"/>
    </row>
    <row r="490" spans="14:15" ht="30.95" customHeight="1">
      <c r="N490" s="552"/>
      <c r="O490" s="552"/>
    </row>
    <row r="491" spans="14:15" ht="30.95" customHeight="1">
      <c r="N491" s="552"/>
      <c r="O491" s="552"/>
    </row>
    <row r="492" spans="14:15" ht="30.95" customHeight="1">
      <c r="N492" s="552"/>
      <c r="O492" s="552"/>
    </row>
    <row r="493" spans="14:15" ht="30.95" customHeight="1">
      <c r="N493" s="552"/>
      <c r="O493" s="552"/>
    </row>
    <row r="494" spans="14:15" ht="30.95" customHeight="1">
      <c r="N494" s="552"/>
      <c r="O494" s="552"/>
    </row>
    <row r="495" spans="14:15" ht="30.95" customHeight="1">
      <c r="N495" s="552"/>
      <c r="O495" s="552"/>
    </row>
    <row r="496" spans="14:15" ht="30.95" customHeight="1">
      <c r="N496" s="552"/>
      <c r="O496" s="552"/>
    </row>
    <row r="497" spans="14:15" ht="30.95" customHeight="1">
      <c r="N497" s="552"/>
      <c r="O497" s="552"/>
    </row>
    <row r="498" spans="14:15" ht="30.95" customHeight="1">
      <c r="N498" s="552"/>
      <c r="O498" s="552"/>
    </row>
    <row r="499" spans="14:15" ht="30.95" customHeight="1">
      <c r="N499" s="552"/>
      <c r="O499" s="552"/>
    </row>
    <row r="500" spans="14:15" ht="30.95" customHeight="1">
      <c r="N500" s="552"/>
      <c r="O500" s="552"/>
    </row>
    <row r="501" spans="14:15" ht="30.95" customHeight="1">
      <c r="N501" s="552"/>
      <c r="O501" s="552"/>
    </row>
    <row r="502" spans="14:15" ht="30.95" customHeight="1">
      <c r="N502" s="552"/>
      <c r="O502" s="552"/>
    </row>
    <row r="503" spans="14:15" ht="30.95" customHeight="1">
      <c r="N503" s="552"/>
      <c r="O503" s="552"/>
    </row>
    <row r="504" spans="14:15" ht="30.95" customHeight="1">
      <c r="N504" s="552"/>
      <c r="O504" s="552"/>
    </row>
    <row r="505" spans="14:15" ht="30.95" customHeight="1">
      <c r="N505" s="552"/>
      <c r="O505" s="552"/>
    </row>
    <row r="506" spans="14:15" ht="30.95" customHeight="1">
      <c r="N506" s="552"/>
      <c r="O506" s="552"/>
    </row>
    <row r="507" spans="14:15" ht="30.95" customHeight="1">
      <c r="N507" s="552"/>
      <c r="O507" s="552"/>
    </row>
    <row r="508" spans="14:15" ht="30.95" customHeight="1">
      <c r="N508" s="552"/>
      <c r="O508" s="552"/>
    </row>
    <row r="509" spans="14:15" ht="30.95" customHeight="1">
      <c r="N509" s="552"/>
      <c r="O509" s="552"/>
    </row>
    <row r="510" spans="14:15" ht="30.95" customHeight="1">
      <c r="N510" s="552"/>
      <c r="O510" s="552"/>
    </row>
    <row r="511" spans="14:15" ht="30.95" customHeight="1">
      <c r="N511" s="552"/>
      <c r="O511" s="552"/>
    </row>
    <row r="512" spans="14:15" ht="30.95" customHeight="1">
      <c r="N512" s="552"/>
      <c r="O512" s="552"/>
    </row>
    <row r="513" spans="14:15" ht="30.95" customHeight="1">
      <c r="N513" s="552"/>
      <c r="O513" s="552"/>
    </row>
    <row r="514" spans="14:15" ht="30.95" customHeight="1">
      <c r="N514" s="552"/>
      <c r="O514" s="552"/>
    </row>
    <row r="515" spans="14:15" ht="30.95" customHeight="1">
      <c r="N515" s="552"/>
      <c r="O515" s="552"/>
    </row>
    <row r="516" spans="14:15" ht="30.95" customHeight="1">
      <c r="N516" s="552"/>
      <c r="O516" s="552"/>
    </row>
    <row r="517" spans="14:15" ht="30.95" customHeight="1">
      <c r="N517" s="552"/>
      <c r="O517" s="552"/>
    </row>
    <row r="518" spans="14:15" ht="30.95" customHeight="1">
      <c r="N518" s="552"/>
      <c r="O518" s="552"/>
    </row>
    <row r="519" spans="14:15" ht="30.95" customHeight="1">
      <c r="N519" s="552"/>
      <c r="O519" s="552"/>
    </row>
    <row r="520" spans="14:15" ht="30.95" customHeight="1">
      <c r="N520" s="552"/>
      <c r="O520" s="552"/>
    </row>
    <row r="521" spans="14:15" ht="30.95" customHeight="1">
      <c r="N521" s="552"/>
      <c r="O521" s="552"/>
    </row>
    <row r="522" spans="14:15" ht="30.95" customHeight="1">
      <c r="N522" s="552"/>
      <c r="O522" s="552"/>
    </row>
    <row r="523" spans="14:15" ht="30.95" customHeight="1">
      <c r="N523" s="552"/>
      <c r="O523" s="552"/>
    </row>
    <row r="524" spans="14:15" ht="30.95" customHeight="1">
      <c r="N524" s="552"/>
      <c r="O524" s="552"/>
    </row>
    <row r="525" spans="14:15" ht="30.95" customHeight="1">
      <c r="N525" s="552"/>
      <c r="O525" s="552"/>
    </row>
    <row r="526" spans="14:15" ht="30.95" customHeight="1">
      <c r="N526" s="552"/>
      <c r="O526" s="552"/>
    </row>
    <row r="527" spans="14:15" ht="30.95" customHeight="1">
      <c r="N527" s="552"/>
      <c r="O527" s="552"/>
    </row>
    <row r="528" spans="14:15" ht="30.95" customHeight="1">
      <c r="N528" s="552"/>
      <c r="O528" s="552"/>
    </row>
    <row r="529" spans="14:15" ht="30.95" customHeight="1">
      <c r="N529" s="552"/>
      <c r="O529" s="552"/>
    </row>
    <row r="530" spans="14:15" ht="30.95" customHeight="1">
      <c r="N530" s="552"/>
      <c r="O530" s="552"/>
    </row>
    <row r="531" spans="14:15" ht="30.95" customHeight="1">
      <c r="N531" s="552"/>
      <c r="O531" s="552"/>
    </row>
    <row r="532" spans="14:15" ht="30.95" customHeight="1">
      <c r="N532" s="552"/>
      <c r="O532" s="552"/>
    </row>
    <row r="533" spans="14:15" ht="30.95" customHeight="1">
      <c r="N533" s="552"/>
      <c r="O533" s="552"/>
    </row>
    <row r="534" spans="14:15" ht="30.95" customHeight="1">
      <c r="N534" s="552"/>
      <c r="O534" s="552"/>
    </row>
    <row r="535" spans="14:15" ht="30.95" customHeight="1">
      <c r="N535" s="552"/>
      <c r="O535" s="552"/>
    </row>
    <row r="536" spans="14:15" ht="30.95" customHeight="1">
      <c r="N536" s="552"/>
      <c r="O536" s="552"/>
    </row>
    <row r="537" spans="14:15" ht="30.95" customHeight="1">
      <c r="N537" s="552"/>
      <c r="O537" s="552"/>
    </row>
    <row r="538" spans="14:15" ht="30.95" customHeight="1">
      <c r="N538" s="552"/>
      <c r="O538" s="552"/>
    </row>
    <row r="539" spans="14:15" ht="30.95" customHeight="1">
      <c r="N539" s="552"/>
      <c r="O539" s="552"/>
    </row>
    <row r="540" spans="14:15" ht="30.95" customHeight="1">
      <c r="N540" s="552"/>
      <c r="O540" s="552"/>
    </row>
    <row r="541" spans="14:15" ht="30.95" customHeight="1">
      <c r="N541" s="552"/>
      <c r="O541" s="552"/>
    </row>
    <row r="542" spans="14:15" ht="30.95" customHeight="1">
      <c r="N542" s="552"/>
      <c r="O542" s="552"/>
    </row>
    <row r="543" spans="14:15" ht="30.95" customHeight="1">
      <c r="N543" s="552"/>
      <c r="O543" s="552"/>
    </row>
    <row r="544" spans="14:15" ht="30.95" customHeight="1">
      <c r="N544" s="552"/>
      <c r="O544" s="552"/>
    </row>
    <row r="545" spans="14:15" ht="30.95" customHeight="1">
      <c r="N545" s="552"/>
      <c r="O545" s="552"/>
    </row>
    <row r="546" spans="14:15" ht="30.95" customHeight="1">
      <c r="N546" s="552"/>
      <c r="O546" s="552"/>
    </row>
    <row r="547" spans="14:15" ht="30.95" customHeight="1">
      <c r="N547" s="552"/>
      <c r="O547" s="552"/>
    </row>
    <row r="548" spans="14:15" ht="30.95" customHeight="1">
      <c r="N548" s="552"/>
      <c r="O548" s="552"/>
    </row>
    <row r="549" spans="14:15" ht="30.95" customHeight="1">
      <c r="N549" s="552"/>
      <c r="O549" s="552"/>
    </row>
    <row r="550" spans="14:15" ht="30.95" customHeight="1">
      <c r="N550" s="552"/>
      <c r="O550" s="552"/>
    </row>
    <row r="551" spans="14:15" ht="30.95" customHeight="1">
      <c r="N551" s="552"/>
      <c r="O551" s="552"/>
    </row>
    <row r="552" spans="14:15" ht="30.95" customHeight="1">
      <c r="N552" s="552"/>
      <c r="O552" s="552"/>
    </row>
    <row r="553" spans="14:15" ht="30.95" customHeight="1">
      <c r="N553" s="552"/>
      <c r="O553" s="552"/>
    </row>
    <row r="554" spans="14:15" ht="30.95" customHeight="1">
      <c r="N554" s="552"/>
      <c r="O554" s="552"/>
    </row>
    <row r="555" spans="14:15" ht="30.95" customHeight="1">
      <c r="N555" s="552"/>
      <c r="O555" s="552"/>
    </row>
    <row r="556" spans="14:15" ht="30.95" customHeight="1">
      <c r="N556" s="552"/>
      <c r="O556" s="552"/>
    </row>
    <row r="557" spans="14:15" ht="30.95" customHeight="1">
      <c r="N557" s="552"/>
      <c r="O557" s="552"/>
    </row>
    <row r="558" spans="14:15" ht="30.95" customHeight="1">
      <c r="N558" s="552"/>
      <c r="O558" s="552"/>
    </row>
    <row r="559" spans="14:15" ht="30.95" customHeight="1">
      <c r="N559" s="552"/>
      <c r="O559" s="552"/>
    </row>
    <row r="560" spans="14:15" ht="30.95" customHeight="1">
      <c r="N560" s="552"/>
      <c r="O560" s="552"/>
    </row>
    <row r="561" spans="14:15" ht="30.95" customHeight="1">
      <c r="N561" s="552"/>
      <c r="O561" s="552"/>
    </row>
    <row r="562" spans="14:15" ht="30.95" customHeight="1">
      <c r="N562" s="552"/>
      <c r="O562" s="552"/>
    </row>
    <row r="563" spans="14:15" ht="30.95" customHeight="1">
      <c r="N563" s="552"/>
      <c r="O563" s="552"/>
    </row>
    <row r="564" spans="14:15" ht="30.95" customHeight="1">
      <c r="N564" s="552"/>
      <c r="O564" s="552"/>
    </row>
    <row r="565" spans="14:15" ht="30.95" customHeight="1">
      <c r="N565" s="552"/>
      <c r="O565" s="552"/>
    </row>
    <row r="566" spans="14:15" ht="30.95" customHeight="1">
      <c r="N566" s="552"/>
      <c r="O566" s="552"/>
    </row>
    <row r="567" spans="14:15" ht="30.95" customHeight="1">
      <c r="N567" s="552"/>
      <c r="O567" s="552"/>
    </row>
    <row r="568" spans="14:15" ht="30.95" customHeight="1">
      <c r="N568" s="552"/>
      <c r="O568" s="552"/>
    </row>
    <row r="569" spans="14:15" ht="30.95" customHeight="1">
      <c r="N569" s="552"/>
      <c r="O569" s="552"/>
    </row>
    <row r="570" spans="14:15" ht="30.95" customHeight="1">
      <c r="N570" s="552"/>
      <c r="O570" s="552"/>
    </row>
    <row r="571" spans="14:15" ht="30.95" customHeight="1">
      <c r="N571" s="552"/>
      <c r="O571" s="552"/>
    </row>
    <row r="572" spans="14:15" ht="30.95" customHeight="1">
      <c r="N572" s="552"/>
      <c r="O572" s="552"/>
    </row>
    <row r="573" spans="14:15" ht="30.95" customHeight="1">
      <c r="N573" s="552"/>
      <c r="O573" s="552"/>
    </row>
    <row r="574" spans="14:15" ht="30.95" customHeight="1">
      <c r="N574" s="552"/>
      <c r="O574" s="552"/>
    </row>
    <row r="575" spans="14:15" ht="30.95" customHeight="1">
      <c r="N575" s="552"/>
      <c r="O575" s="552"/>
    </row>
    <row r="576" spans="14:15" ht="30.95" customHeight="1">
      <c r="N576" s="552"/>
      <c r="O576" s="552"/>
    </row>
    <row r="577" spans="14:15" ht="30.95" customHeight="1">
      <c r="N577" s="552"/>
      <c r="O577" s="552"/>
    </row>
    <row r="578" spans="14:15" ht="30.95" customHeight="1">
      <c r="N578" s="552"/>
      <c r="O578" s="552"/>
    </row>
    <row r="579" spans="14:15" ht="30.95" customHeight="1">
      <c r="N579" s="552"/>
      <c r="O579" s="552"/>
    </row>
    <row r="580" spans="14:15" ht="30.95" customHeight="1">
      <c r="N580" s="552"/>
      <c r="O580" s="552"/>
    </row>
    <row r="581" spans="14:15" ht="30.95" customHeight="1">
      <c r="N581" s="552"/>
      <c r="O581" s="552"/>
    </row>
    <row r="582" spans="14:15" ht="30.95" customHeight="1">
      <c r="N582" s="552"/>
      <c r="O582" s="552"/>
    </row>
    <row r="583" spans="14:15" ht="30.95" customHeight="1">
      <c r="N583" s="552"/>
      <c r="O583" s="552"/>
    </row>
    <row r="584" spans="14:15" ht="30.95" customHeight="1">
      <c r="N584" s="552"/>
      <c r="O584" s="552"/>
    </row>
    <row r="585" spans="14:15" ht="30.95" customHeight="1">
      <c r="N585" s="552"/>
      <c r="O585" s="552"/>
    </row>
    <row r="586" spans="14:15" ht="30.95" customHeight="1">
      <c r="N586" s="552"/>
      <c r="O586" s="552"/>
    </row>
    <row r="587" spans="14:15" ht="30.95" customHeight="1">
      <c r="N587" s="552"/>
      <c r="O587" s="552"/>
    </row>
    <row r="588" spans="14:15" ht="30.95" customHeight="1">
      <c r="N588" s="552"/>
      <c r="O588" s="552"/>
    </row>
    <row r="589" spans="14:15" ht="30.95" customHeight="1">
      <c r="N589" s="552"/>
      <c r="O589" s="552"/>
    </row>
    <row r="590" spans="14:15" ht="30.95" customHeight="1">
      <c r="N590" s="552"/>
      <c r="O590" s="552"/>
    </row>
    <row r="591" spans="14:15" ht="30.95" customHeight="1">
      <c r="N591" s="552"/>
      <c r="O591" s="552"/>
    </row>
    <row r="592" spans="14:15" ht="30.95" customHeight="1">
      <c r="N592" s="552"/>
      <c r="O592" s="552"/>
    </row>
    <row r="593" spans="14:15" ht="30.95" customHeight="1">
      <c r="N593" s="552"/>
      <c r="O593" s="552"/>
    </row>
    <row r="594" spans="14:15" ht="30.95" customHeight="1">
      <c r="N594" s="552"/>
      <c r="O594" s="552"/>
    </row>
    <row r="595" spans="14:15" ht="30.95" customHeight="1">
      <c r="N595" s="552"/>
      <c r="O595" s="552"/>
    </row>
    <row r="596" spans="14:15" ht="30.95" customHeight="1">
      <c r="N596" s="552"/>
      <c r="O596" s="552"/>
    </row>
    <row r="597" spans="14:15" ht="30.95" customHeight="1">
      <c r="N597" s="552"/>
      <c r="O597" s="552"/>
    </row>
    <row r="598" spans="14:15" ht="30.95" customHeight="1">
      <c r="N598" s="552"/>
      <c r="O598" s="552"/>
    </row>
    <row r="599" spans="14:15" ht="30.95" customHeight="1">
      <c r="N599" s="552"/>
      <c r="O599" s="552"/>
    </row>
    <row r="600" spans="14:15" ht="30.95" customHeight="1">
      <c r="N600" s="552"/>
      <c r="O600" s="552"/>
    </row>
    <row r="601" spans="14:15" ht="30.95" customHeight="1">
      <c r="N601" s="552"/>
      <c r="O601" s="552"/>
    </row>
    <row r="602" spans="14:15" ht="30.95" customHeight="1">
      <c r="N602" s="552"/>
      <c r="O602" s="552"/>
    </row>
    <row r="603" spans="14:15" ht="30.95" customHeight="1">
      <c r="N603" s="552"/>
      <c r="O603" s="552"/>
    </row>
    <row r="604" spans="14:15" ht="30.95" customHeight="1">
      <c r="N604" s="552"/>
      <c r="O604" s="552"/>
    </row>
    <row r="605" spans="14:15" ht="30.95" customHeight="1">
      <c r="N605" s="552"/>
      <c r="O605" s="552"/>
    </row>
    <row r="606" spans="14:15" ht="30.95" customHeight="1">
      <c r="N606" s="552"/>
      <c r="O606" s="552"/>
    </row>
    <row r="607" spans="14:15" ht="30.95" customHeight="1">
      <c r="N607" s="552"/>
      <c r="O607" s="552"/>
    </row>
    <row r="608" spans="14:15" ht="30.95" customHeight="1">
      <c r="N608" s="552"/>
      <c r="O608" s="552"/>
    </row>
    <row r="609" spans="14:15" ht="30.95" customHeight="1">
      <c r="N609" s="552"/>
      <c r="O609" s="552"/>
    </row>
    <row r="610" spans="14:15" ht="30.95" customHeight="1">
      <c r="N610" s="552"/>
      <c r="O610" s="552"/>
    </row>
    <row r="611" spans="14:15" ht="30.95" customHeight="1">
      <c r="N611" s="552"/>
      <c r="O611" s="552"/>
    </row>
    <row r="612" spans="14:15" ht="30.95" customHeight="1">
      <c r="N612" s="552"/>
      <c r="O612" s="552"/>
    </row>
    <row r="613" spans="14:15" ht="30.95" customHeight="1">
      <c r="N613" s="552"/>
      <c r="O613" s="552"/>
    </row>
    <row r="614" spans="14:15" ht="30.95" customHeight="1">
      <c r="N614" s="552"/>
      <c r="O614" s="552"/>
    </row>
    <row r="615" spans="14:15" ht="30.95" customHeight="1">
      <c r="N615" s="552"/>
      <c r="O615" s="552"/>
    </row>
    <row r="616" spans="14:15" ht="30.95" customHeight="1">
      <c r="N616" s="552"/>
      <c r="O616" s="552"/>
    </row>
    <row r="617" spans="14:15" ht="30.95" customHeight="1">
      <c r="N617" s="552"/>
      <c r="O617" s="552"/>
    </row>
    <row r="618" spans="14:15" ht="30.95" customHeight="1">
      <c r="N618" s="552"/>
      <c r="O618" s="552"/>
    </row>
    <row r="619" spans="14:15" ht="30.95" customHeight="1">
      <c r="N619" s="552"/>
      <c r="O619" s="552"/>
    </row>
    <row r="620" spans="14:15" ht="30.95" customHeight="1">
      <c r="N620" s="552"/>
      <c r="O620" s="552"/>
    </row>
    <row r="621" spans="14:15" ht="30.95" customHeight="1">
      <c r="N621" s="552"/>
      <c r="O621" s="552"/>
    </row>
    <row r="622" spans="14:15" ht="30.95" customHeight="1">
      <c r="N622" s="552"/>
      <c r="O622" s="552"/>
    </row>
    <row r="623" spans="14:15" ht="30.95" customHeight="1">
      <c r="N623" s="552"/>
      <c r="O623" s="552"/>
    </row>
    <row r="624" spans="14:15" ht="30.95" customHeight="1">
      <c r="N624" s="552"/>
      <c r="O624" s="552"/>
    </row>
    <row r="625" spans="14:15" ht="30.95" customHeight="1">
      <c r="N625" s="552"/>
      <c r="O625" s="552"/>
    </row>
    <row r="626" spans="14:15" ht="30.95" customHeight="1">
      <c r="N626" s="552"/>
      <c r="O626" s="552"/>
    </row>
    <row r="627" spans="14:15" ht="30.95" customHeight="1">
      <c r="N627" s="552"/>
      <c r="O627" s="552"/>
    </row>
    <row r="628" spans="14:15" ht="30.95" customHeight="1">
      <c r="N628" s="552"/>
      <c r="O628" s="552"/>
    </row>
    <row r="629" spans="14:15" ht="30.95" customHeight="1">
      <c r="N629" s="552"/>
      <c r="O629" s="552"/>
    </row>
    <row r="630" spans="14:15" ht="30.95" customHeight="1">
      <c r="N630" s="552"/>
      <c r="O630" s="552"/>
    </row>
    <row r="631" spans="14:15" ht="30.95" customHeight="1">
      <c r="N631" s="552"/>
      <c r="O631" s="552"/>
    </row>
    <row r="632" spans="14:15" ht="30.95" customHeight="1">
      <c r="N632" s="552"/>
      <c r="O632" s="552"/>
    </row>
    <row r="633" spans="14:15" ht="30.95" customHeight="1">
      <c r="N633" s="552"/>
      <c r="O633" s="552"/>
    </row>
    <row r="634" spans="14:15" ht="30.95" customHeight="1">
      <c r="N634" s="552"/>
      <c r="O634" s="552"/>
    </row>
    <row r="635" spans="14:15" ht="30.95" customHeight="1">
      <c r="N635" s="552"/>
      <c r="O635" s="552"/>
    </row>
    <row r="636" spans="14:15" ht="30.95" customHeight="1">
      <c r="N636" s="552"/>
      <c r="O636" s="552"/>
    </row>
    <row r="637" spans="14:15" ht="30.95" customHeight="1">
      <c r="N637" s="552"/>
      <c r="O637" s="552"/>
    </row>
    <row r="638" spans="14:15" ht="30.95" customHeight="1">
      <c r="N638" s="552"/>
      <c r="O638" s="552"/>
    </row>
    <row r="639" spans="14:15" ht="30.95" customHeight="1">
      <c r="N639" s="552"/>
      <c r="O639" s="552"/>
    </row>
    <row r="640" spans="14:15" ht="30.95" customHeight="1">
      <c r="N640" s="552"/>
      <c r="O640" s="552"/>
    </row>
    <row r="641" spans="14:15" ht="30.95" customHeight="1">
      <c r="N641" s="552"/>
      <c r="O641" s="552"/>
    </row>
    <row r="642" spans="14:15" ht="30.95" customHeight="1">
      <c r="N642" s="552"/>
      <c r="O642" s="552"/>
    </row>
    <row r="643" spans="14:15" ht="30.95" customHeight="1">
      <c r="N643" s="552"/>
      <c r="O643" s="552"/>
    </row>
    <row r="644" spans="14:15" ht="30.95" customHeight="1">
      <c r="N644" s="552"/>
      <c r="O644" s="552"/>
    </row>
    <row r="645" spans="14:15" ht="30.95" customHeight="1">
      <c r="N645" s="552"/>
      <c r="O645" s="552"/>
    </row>
    <row r="646" spans="14:15" ht="30.95" customHeight="1">
      <c r="N646" s="552"/>
      <c r="O646" s="552"/>
    </row>
    <row r="647" spans="14:15" ht="30.95" customHeight="1">
      <c r="N647" s="552"/>
      <c r="O647" s="552"/>
    </row>
    <row r="648" spans="14:15" ht="30.95" customHeight="1">
      <c r="N648" s="552"/>
      <c r="O648" s="552"/>
    </row>
    <row r="649" spans="14:15" ht="30.95" customHeight="1">
      <c r="N649" s="552"/>
      <c r="O649" s="552"/>
    </row>
    <row r="650" spans="14:15" ht="30.95" customHeight="1">
      <c r="N650" s="552"/>
      <c r="O650" s="552"/>
    </row>
    <row r="651" spans="14:15" ht="30.95" customHeight="1">
      <c r="N651" s="552"/>
      <c r="O651" s="552"/>
    </row>
    <row r="652" spans="14:15" ht="30.95" customHeight="1">
      <c r="N652" s="552"/>
      <c r="O652" s="552"/>
    </row>
    <row r="653" spans="14:15" ht="30.95" customHeight="1">
      <c r="N653" s="552"/>
      <c r="O653" s="552"/>
    </row>
    <row r="654" spans="14:15" ht="30.95" customHeight="1">
      <c r="N654" s="552"/>
      <c r="O654" s="552"/>
    </row>
    <row r="655" spans="14:15" ht="30.95" customHeight="1">
      <c r="N655" s="552"/>
      <c r="O655" s="552"/>
    </row>
    <row r="656" spans="14:15" ht="30.95" customHeight="1">
      <c r="N656" s="552"/>
      <c r="O656" s="552"/>
    </row>
    <row r="657" spans="14:15" ht="30.95" customHeight="1">
      <c r="N657" s="552"/>
      <c r="O657" s="552"/>
    </row>
    <row r="658" spans="14:15" ht="30.95" customHeight="1">
      <c r="N658" s="552"/>
      <c r="O658" s="552"/>
    </row>
    <row r="659" spans="14:15" ht="30.95" customHeight="1">
      <c r="N659" s="552"/>
      <c r="O659" s="552"/>
    </row>
    <row r="660" spans="14:15" ht="30.95" customHeight="1">
      <c r="N660" s="552"/>
      <c r="O660" s="552"/>
    </row>
    <row r="661" spans="14:15" ht="30.95" customHeight="1">
      <c r="N661" s="552"/>
      <c r="O661" s="552"/>
    </row>
    <row r="662" spans="14:15" ht="30.95" customHeight="1">
      <c r="N662" s="552"/>
      <c r="O662" s="552"/>
    </row>
    <row r="663" spans="14:15" ht="30.95" customHeight="1">
      <c r="N663" s="552"/>
      <c r="O663" s="552"/>
    </row>
    <row r="664" spans="14:15" ht="30.95" customHeight="1">
      <c r="N664" s="552"/>
      <c r="O664" s="552"/>
    </row>
    <row r="665" spans="14:15" ht="30.95" customHeight="1">
      <c r="N665" s="552"/>
      <c r="O665" s="552"/>
    </row>
    <row r="666" spans="14:15" ht="30.95" customHeight="1">
      <c r="N666" s="552"/>
      <c r="O666" s="552"/>
    </row>
    <row r="667" spans="14:15" ht="30.95" customHeight="1">
      <c r="N667" s="552"/>
      <c r="O667" s="552"/>
    </row>
    <row r="668" spans="14:15" ht="30.95" customHeight="1">
      <c r="N668" s="552"/>
      <c r="O668" s="552"/>
    </row>
    <row r="669" spans="14:15" ht="30.95" customHeight="1">
      <c r="N669" s="552"/>
      <c r="O669" s="552"/>
    </row>
    <row r="670" spans="14:15" ht="30.95" customHeight="1">
      <c r="N670" s="552"/>
      <c r="O670" s="552"/>
    </row>
    <row r="671" spans="14:15" ht="30.95" customHeight="1">
      <c r="N671" s="552"/>
      <c r="O671" s="552"/>
    </row>
    <row r="672" spans="14:15" ht="30.95" customHeight="1">
      <c r="N672" s="552"/>
      <c r="O672" s="552"/>
    </row>
    <row r="673" spans="14:15" ht="30.95" customHeight="1">
      <c r="N673" s="552"/>
      <c r="O673" s="552"/>
    </row>
    <row r="674" spans="14:15" ht="30.95" customHeight="1">
      <c r="N674" s="552"/>
      <c r="O674" s="552"/>
    </row>
    <row r="675" spans="14:15" ht="30.95" customHeight="1">
      <c r="N675" s="552"/>
      <c r="O675" s="552"/>
    </row>
    <row r="676" spans="14:15" ht="30.95" customHeight="1">
      <c r="N676" s="552"/>
      <c r="O676" s="552"/>
    </row>
    <row r="677" spans="14:15" ht="30.95" customHeight="1">
      <c r="N677" s="552"/>
      <c r="O677" s="552"/>
    </row>
    <row r="678" spans="14:15" ht="30.95" customHeight="1">
      <c r="N678" s="552"/>
      <c r="O678" s="552"/>
    </row>
    <row r="679" spans="14:15" ht="30.95" customHeight="1">
      <c r="N679" s="552"/>
      <c r="O679" s="552"/>
    </row>
    <row r="680" spans="14:15" ht="30.95" customHeight="1">
      <c r="N680" s="552"/>
      <c r="O680" s="552"/>
    </row>
    <row r="681" spans="14:15" ht="30.95" customHeight="1">
      <c r="N681" s="552"/>
      <c r="O681" s="552"/>
    </row>
    <row r="682" spans="14:15" ht="30.95" customHeight="1">
      <c r="N682" s="552"/>
      <c r="O682" s="552"/>
    </row>
    <row r="683" spans="14:15" ht="30.95" customHeight="1">
      <c r="N683" s="552"/>
      <c r="O683" s="552"/>
    </row>
    <row r="684" spans="14:15" ht="30.95" customHeight="1">
      <c r="N684" s="552"/>
      <c r="O684" s="552"/>
    </row>
    <row r="685" spans="14:15" ht="30.95" customHeight="1">
      <c r="N685" s="552"/>
      <c r="O685" s="552"/>
    </row>
    <row r="686" spans="14:15" ht="30.95" customHeight="1">
      <c r="N686" s="552"/>
      <c r="O686" s="552"/>
    </row>
    <row r="687" spans="14:15" ht="30.95" customHeight="1">
      <c r="N687" s="552"/>
      <c r="O687" s="552"/>
    </row>
    <row r="688" spans="14:15" ht="30.95" customHeight="1">
      <c r="N688" s="552"/>
      <c r="O688" s="552"/>
    </row>
    <row r="689" spans="14:15" ht="30.95" customHeight="1">
      <c r="N689" s="552"/>
      <c r="O689" s="552"/>
    </row>
    <row r="690" spans="14:15" ht="30.95" customHeight="1">
      <c r="N690" s="552"/>
      <c r="O690" s="552"/>
    </row>
    <row r="691" spans="14:15" ht="30.95" customHeight="1">
      <c r="N691" s="552"/>
      <c r="O691" s="552"/>
    </row>
    <row r="692" spans="14:15" ht="30.95" customHeight="1">
      <c r="N692" s="552"/>
      <c r="O692" s="552"/>
    </row>
    <row r="693" spans="14:15" ht="30.95" customHeight="1">
      <c r="N693" s="552"/>
      <c r="O693" s="552"/>
    </row>
    <row r="694" spans="14:15" ht="30.95" customHeight="1">
      <c r="N694" s="552"/>
      <c r="O694" s="552"/>
    </row>
    <row r="695" spans="14:15" ht="30.95" customHeight="1">
      <c r="N695" s="552"/>
      <c r="O695" s="552"/>
    </row>
    <row r="696" spans="14:15" ht="30.95" customHeight="1">
      <c r="N696" s="552"/>
      <c r="O696" s="552"/>
    </row>
    <row r="697" spans="14:15" ht="30.95" customHeight="1">
      <c r="N697" s="552"/>
      <c r="O697" s="552"/>
    </row>
    <row r="698" spans="14:15" ht="30.95" customHeight="1">
      <c r="N698" s="552"/>
      <c r="O698" s="552"/>
    </row>
    <row r="699" spans="14:15" ht="30.95" customHeight="1">
      <c r="N699" s="552"/>
      <c r="O699" s="552"/>
    </row>
    <row r="700" spans="14:15" ht="30.95" customHeight="1">
      <c r="N700" s="552"/>
      <c r="O700" s="552"/>
    </row>
    <row r="701" spans="14:15" ht="30.95" customHeight="1">
      <c r="N701" s="552"/>
      <c r="O701" s="552"/>
    </row>
    <row r="702" spans="14:15" ht="30.95" customHeight="1">
      <c r="N702" s="552"/>
      <c r="O702" s="552"/>
    </row>
    <row r="703" spans="14:15" ht="30.95" customHeight="1">
      <c r="N703" s="552"/>
      <c r="O703" s="552"/>
    </row>
    <row r="704" spans="14:15" ht="30.95" customHeight="1">
      <c r="N704" s="552"/>
      <c r="O704" s="552"/>
    </row>
    <row r="705" spans="14:15" ht="30.95" customHeight="1">
      <c r="N705" s="552"/>
      <c r="O705" s="552"/>
    </row>
    <row r="706" spans="14:15" ht="30.95" customHeight="1">
      <c r="N706" s="552"/>
      <c r="O706" s="552"/>
    </row>
    <row r="707" spans="14:15" ht="30.95" customHeight="1">
      <c r="N707" s="552"/>
      <c r="O707" s="552"/>
    </row>
    <row r="708" spans="14:15" ht="30.95" customHeight="1">
      <c r="N708" s="552"/>
      <c r="O708" s="552"/>
    </row>
    <row r="709" spans="14:15" ht="30.95" customHeight="1">
      <c r="N709" s="552"/>
      <c r="O709" s="552"/>
    </row>
    <row r="710" spans="14:15" ht="30.95" customHeight="1">
      <c r="N710" s="552"/>
      <c r="O710" s="552"/>
    </row>
    <row r="711" spans="14:15" ht="30.95" customHeight="1">
      <c r="N711" s="552"/>
      <c r="O711" s="552"/>
    </row>
    <row r="712" spans="14:15" ht="30.95" customHeight="1">
      <c r="N712" s="552"/>
      <c r="O712" s="552"/>
    </row>
    <row r="713" spans="14:15" ht="30.95" customHeight="1">
      <c r="N713" s="552"/>
      <c r="O713" s="552"/>
    </row>
    <row r="714" spans="14:15" ht="30.95" customHeight="1">
      <c r="N714" s="552"/>
      <c r="O714" s="552"/>
    </row>
    <row r="715" spans="14:15" ht="30.95" customHeight="1">
      <c r="N715" s="552"/>
      <c r="O715" s="552"/>
    </row>
    <row r="716" spans="14:15" ht="30.95" customHeight="1">
      <c r="N716" s="552"/>
      <c r="O716" s="552"/>
    </row>
    <row r="717" spans="14:15" ht="30.95" customHeight="1">
      <c r="N717" s="552"/>
      <c r="O717" s="552"/>
    </row>
    <row r="718" spans="14:15" ht="30.95" customHeight="1">
      <c r="N718" s="552"/>
      <c r="O718" s="552"/>
    </row>
    <row r="719" spans="14:15" ht="30.95" customHeight="1">
      <c r="N719" s="552"/>
      <c r="O719" s="552"/>
    </row>
    <row r="720" spans="14:15" ht="30.95" customHeight="1">
      <c r="N720" s="552"/>
      <c r="O720" s="552"/>
    </row>
    <row r="721" spans="14:15" ht="30.95" customHeight="1">
      <c r="N721" s="552"/>
      <c r="O721" s="552"/>
    </row>
    <row r="722" spans="14:15" ht="30.95" customHeight="1">
      <c r="N722" s="552"/>
      <c r="O722" s="552"/>
    </row>
    <row r="723" spans="14:15" ht="30.95" customHeight="1">
      <c r="N723" s="552"/>
      <c r="O723" s="552"/>
    </row>
    <row r="724" spans="14:15" ht="30.95" customHeight="1">
      <c r="N724" s="552"/>
      <c r="O724" s="552"/>
    </row>
    <row r="725" spans="14:15" ht="30.95" customHeight="1">
      <c r="N725" s="552"/>
      <c r="O725" s="552"/>
    </row>
    <row r="726" spans="14:15" ht="30.95" customHeight="1">
      <c r="N726" s="552"/>
      <c r="O726" s="552"/>
    </row>
    <row r="727" spans="14:15" ht="30.95" customHeight="1">
      <c r="N727" s="552"/>
      <c r="O727" s="552"/>
    </row>
    <row r="728" spans="14:15" ht="30.95" customHeight="1">
      <c r="N728" s="552"/>
      <c r="O728" s="552"/>
    </row>
    <row r="729" spans="14:15" ht="30.95" customHeight="1">
      <c r="N729" s="552"/>
      <c r="O729" s="552"/>
    </row>
    <row r="730" spans="14:15" ht="30.95" customHeight="1">
      <c r="N730" s="552"/>
      <c r="O730" s="552"/>
    </row>
    <row r="731" spans="14:15" ht="30.95" customHeight="1">
      <c r="N731" s="552"/>
      <c r="O731" s="552"/>
    </row>
    <row r="732" spans="14:15" ht="30.95" customHeight="1">
      <c r="N732" s="552"/>
      <c r="O732" s="552"/>
    </row>
    <row r="733" spans="14:15" ht="30.95" customHeight="1">
      <c r="N733" s="552"/>
      <c r="O733" s="552"/>
    </row>
    <row r="734" spans="14:15" ht="30.95" customHeight="1">
      <c r="N734" s="552"/>
      <c r="O734" s="552"/>
    </row>
    <row r="735" spans="14:15" ht="30.95" customHeight="1">
      <c r="N735" s="552"/>
      <c r="O735" s="552"/>
    </row>
    <row r="736" spans="14:15" ht="30.95" customHeight="1">
      <c r="N736" s="552"/>
      <c r="O736" s="552"/>
    </row>
    <row r="737" spans="14:15" ht="30.95" customHeight="1">
      <c r="N737" s="552"/>
      <c r="O737" s="552"/>
    </row>
    <row r="738" spans="14:15" ht="30.95" customHeight="1">
      <c r="N738" s="552"/>
      <c r="O738" s="552"/>
    </row>
    <row r="739" spans="14:15" ht="30.95" customHeight="1">
      <c r="N739" s="552"/>
      <c r="O739" s="552"/>
    </row>
    <row r="740" spans="14:15" ht="30.95" customHeight="1">
      <c r="N740" s="552"/>
      <c r="O740" s="552"/>
    </row>
    <row r="741" spans="14:15" ht="30.95" customHeight="1">
      <c r="N741" s="552"/>
      <c r="O741" s="552"/>
    </row>
    <row r="742" spans="14:15" ht="30.95" customHeight="1">
      <c r="N742" s="552"/>
      <c r="O742" s="552"/>
    </row>
    <row r="743" spans="14:15" ht="30.95" customHeight="1">
      <c r="N743" s="552"/>
      <c r="O743" s="552"/>
    </row>
    <row r="744" spans="14:15" ht="30.95" customHeight="1">
      <c r="N744" s="552"/>
      <c r="O744" s="552"/>
    </row>
    <row r="745" spans="14:15" ht="30.95" customHeight="1">
      <c r="N745" s="552"/>
      <c r="O745" s="552"/>
    </row>
    <row r="746" spans="14:15" ht="30.95" customHeight="1">
      <c r="N746" s="552"/>
      <c r="O746" s="552"/>
    </row>
    <row r="747" spans="14:15" ht="30.95" customHeight="1">
      <c r="N747" s="552"/>
      <c r="O747" s="552"/>
    </row>
    <row r="748" spans="14:15" ht="30.95" customHeight="1">
      <c r="N748" s="552"/>
      <c r="O748" s="552"/>
    </row>
    <row r="749" spans="14:15" ht="30.95" customHeight="1">
      <c r="N749" s="552"/>
      <c r="O749" s="552"/>
    </row>
    <row r="750" spans="14:15" ht="30.95" customHeight="1">
      <c r="N750" s="552"/>
      <c r="O750" s="552"/>
    </row>
    <row r="751" spans="14:15" ht="30.95" customHeight="1">
      <c r="N751" s="552"/>
      <c r="O751" s="552"/>
    </row>
    <row r="752" spans="14:15" ht="30.95" customHeight="1">
      <c r="N752" s="552"/>
      <c r="O752" s="552"/>
    </row>
    <row r="753" spans="14:15" ht="30.95" customHeight="1">
      <c r="N753" s="552"/>
      <c r="O753" s="552"/>
    </row>
    <row r="754" spans="14:15" ht="30.95" customHeight="1">
      <c r="N754" s="552"/>
      <c r="O754" s="552"/>
    </row>
    <row r="755" spans="14:15" ht="30.95" customHeight="1">
      <c r="N755" s="552"/>
      <c r="O755" s="552"/>
    </row>
    <row r="756" spans="14:15" ht="30.95" customHeight="1">
      <c r="N756" s="552"/>
      <c r="O756" s="552"/>
    </row>
    <row r="757" spans="14:15" ht="30.95" customHeight="1">
      <c r="N757" s="552"/>
      <c r="O757" s="552"/>
    </row>
    <row r="758" spans="14:15" ht="30.95" customHeight="1">
      <c r="N758" s="552"/>
      <c r="O758" s="552"/>
    </row>
    <row r="759" spans="14:15" ht="30.95" customHeight="1">
      <c r="N759" s="552"/>
      <c r="O759" s="552"/>
    </row>
    <row r="760" spans="14:15" ht="30.95" customHeight="1">
      <c r="N760" s="552"/>
      <c r="O760" s="552"/>
    </row>
    <row r="761" spans="14:15" ht="30.95" customHeight="1">
      <c r="N761" s="552"/>
      <c r="O761" s="552"/>
    </row>
    <row r="762" spans="14:15" ht="30.95" customHeight="1">
      <c r="N762" s="552"/>
      <c r="O762" s="552"/>
    </row>
    <row r="763" spans="14:15" ht="30.95" customHeight="1">
      <c r="N763" s="552"/>
      <c r="O763" s="552"/>
    </row>
    <row r="764" spans="14:15" ht="30.95" customHeight="1">
      <c r="N764" s="552"/>
      <c r="O764" s="552"/>
    </row>
    <row r="765" spans="14:15" ht="30.95" customHeight="1">
      <c r="N765" s="552"/>
      <c r="O765" s="552"/>
    </row>
    <row r="766" spans="14:15" ht="30.95" customHeight="1">
      <c r="N766" s="552"/>
      <c r="O766" s="552"/>
    </row>
    <row r="767" spans="14:15" ht="30.95" customHeight="1">
      <c r="N767" s="552"/>
      <c r="O767" s="552"/>
    </row>
    <row r="768" spans="14:15" ht="30.95" customHeight="1">
      <c r="N768" s="552"/>
      <c r="O768" s="552"/>
    </row>
    <row r="769" spans="14:15" ht="30.95" customHeight="1">
      <c r="N769" s="552"/>
      <c r="O769" s="552"/>
    </row>
    <row r="770" spans="14:15" ht="30.95" customHeight="1">
      <c r="N770" s="552"/>
      <c r="O770" s="552"/>
    </row>
    <row r="771" spans="14:15" ht="30.95" customHeight="1">
      <c r="N771" s="552"/>
      <c r="O771" s="552"/>
    </row>
    <row r="772" spans="14:15" ht="30.95" customHeight="1">
      <c r="N772" s="552"/>
      <c r="O772" s="552"/>
    </row>
    <row r="773" spans="14:15" ht="30.95" customHeight="1">
      <c r="N773" s="552"/>
      <c r="O773" s="552"/>
    </row>
    <row r="774" spans="14:15" ht="30.95" customHeight="1">
      <c r="N774" s="552"/>
      <c r="O774" s="552"/>
    </row>
    <row r="775" spans="14:15" ht="30.95" customHeight="1">
      <c r="N775" s="552"/>
      <c r="O775" s="552"/>
    </row>
    <row r="776" spans="14:15" ht="30.95" customHeight="1">
      <c r="N776" s="552"/>
      <c r="O776" s="552"/>
    </row>
    <row r="777" spans="14:15" ht="30.95" customHeight="1">
      <c r="N777" s="552"/>
      <c r="O777" s="552"/>
    </row>
    <row r="778" spans="14:15" ht="30.95" customHeight="1">
      <c r="N778" s="552"/>
      <c r="O778" s="552"/>
    </row>
    <row r="779" spans="14:15" ht="30.95" customHeight="1">
      <c r="N779" s="552"/>
      <c r="O779" s="552"/>
    </row>
    <row r="780" spans="14:15" ht="30.95" customHeight="1">
      <c r="N780" s="552"/>
      <c r="O780" s="552"/>
    </row>
    <row r="781" spans="14:15" ht="30.95" customHeight="1">
      <c r="N781" s="552"/>
      <c r="O781" s="552"/>
    </row>
    <row r="782" spans="14:15" ht="30.95" customHeight="1">
      <c r="N782" s="552"/>
      <c r="O782" s="552"/>
    </row>
    <row r="783" spans="14:15" ht="30.95" customHeight="1">
      <c r="N783" s="552"/>
      <c r="O783" s="552"/>
    </row>
    <row r="784" spans="14:15" ht="30.95" customHeight="1">
      <c r="N784" s="552"/>
      <c r="O784" s="552"/>
    </row>
    <row r="785" spans="14:15" ht="30.95" customHeight="1">
      <c r="N785" s="552"/>
      <c r="O785" s="552"/>
    </row>
    <row r="786" spans="14:15" ht="30.95" customHeight="1">
      <c r="N786" s="552"/>
      <c r="O786" s="552"/>
    </row>
    <row r="787" spans="14:15" ht="30.95" customHeight="1">
      <c r="N787" s="552"/>
      <c r="O787" s="552"/>
    </row>
    <row r="788" spans="14:15" ht="30.95" customHeight="1">
      <c r="N788" s="552"/>
      <c r="O788" s="552"/>
    </row>
    <row r="789" spans="14:15" ht="30.95" customHeight="1">
      <c r="N789" s="552"/>
      <c r="O789" s="552"/>
    </row>
    <row r="790" spans="14:15" ht="30.95" customHeight="1">
      <c r="N790" s="552"/>
      <c r="O790" s="552"/>
    </row>
    <row r="791" spans="14:15" ht="30.95" customHeight="1">
      <c r="N791" s="552"/>
      <c r="O791" s="552"/>
    </row>
    <row r="792" spans="14:15" ht="30.95" customHeight="1">
      <c r="N792" s="552"/>
      <c r="O792" s="552"/>
    </row>
    <row r="793" spans="14:15" ht="30.95" customHeight="1">
      <c r="N793" s="552"/>
      <c r="O793" s="552"/>
    </row>
    <row r="794" spans="14:15" ht="30.95" customHeight="1">
      <c r="N794" s="552"/>
      <c r="O794" s="552"/>
    </row>
    <row r="795" spans="14:15" ht="30.95" customHeight="1">
      <c r="N795" s="552"/>
      <c r="O795" s="552"/>
    </row>
    <row r="796" spans="14:15" ht="30.95" customHeight="1">
      <c r="N796" s="552"/>
      <c r="O796" s="552"/>
    </row>
    <row r="797" spans="14:15" ht="30.95" customHeight="1">
      <c r="N797" s="552"/>
      <c r="O797" s="552"/>
    </row>
    <row r="798" spans="14:15" ht="30.95" customHeight="1">
      <c r="N798" s="552"/>
      <c r="O798" s="552"/>
    </row>
    <row r="799" spans="14:15" ht="30.95" customHeight="1">
      <c r="N799" s="552"/>
      <c r="O799" s="552"/>
    </row>
    <row r="800" spans="14:15" ht="30.95" customHeight="1">
      <c r="N800" s="552"/>
      <c r="O800" s="552"/>
    </row>
    <row r="801" spans="14:15" ht="30.95" customHeight="1">
      <c r="N801" s="552"/>
      <c r="O801" s="552"/>
    </row>
    <row r="802" spans="14:15" ht="30.95" customHeight="1">
      <c r="N802" s="552"/>
      <c r="O802" s="552"/>
    </row>
    <row r="803" spans="14:15" ht="30.95" customHeight="1">
      <c r="N803" s="552"/>
      <c r="O803" s="552"/>
    </row>
    <row r="804" spans="14:15" ht="30.95" customHeight="1">
      <c r="N804" s="552"/>
      <c r="O804" s="552"/>
    </row>
    <row r="805" spans="14:15" ht="30.95" customHeight="1">
      <c r="N805" s="552"/>
      <c r="O805" s="552"/>
    </row>
    <row r="806" spans="14:15" ht="30.95" customHeight="1">
      <c r="N806" s="552"/>
      <c r="O806" s="552"/>
    </row>
    <row r="807" spans="14:15" ht="30.95" customHeight="1">
      <c r="N807" s="552"/>
      <c r="O807" s="552"/>
    </row>
    <row r="808" spans="14:15" ht="30.95" customHeight="1">
      <c r="N808" s="552"/>
      <c r="O808" s="552"/>
    </row>
    <row r="809" spans="14:15" ht="30.95" customHeight="1">
      <c r="N809" s="552"/>
      <c r="O809" s="552"/>
    </row>
    <row r="810" spans="14:15" ht="30.95" customHeight="1">
      <c r="N810" s="552"/>
      <c r="O810" s="552"/>
    </row>
    <row r="811" spans="14:15" ht="30.95" customHeight="1">
      <c r="N811" s="552"/>
      <c r="O811" s="552"/>
    </row>
    <row r="812" spans="14:15" ht="30.95" customHeight="1">
      <c r="N812" s="552"/>
      <c r="O812" s="552"/>
    </row>
    <row r="813" spans="14:15" ht="30.95" customHeight="1">
      <c r="N813" s="552"/>
      <c r="O813" s="552"/>
    </row>
    <row r="814" spans="14:15" ht="30.95" customHeight="1">
      <c r="N814" s="552"/>
      <c r="O814" s="552"/>
    </row>
    <row r="815" spans="14:15" ht="30.95" customHeight="1">
      <c r="N815" s="552"/>
      <c r="O815" s="552"/>
    </row>
    <row r="816" spans="14:15" ht="30.95" customHeight="1">
      <c r="N816" s="552"/>
      <c r="O816" s="552"/>
    </row>
    <row r="817" spans="14:15" ht="30.95" customHeight="1">
      <c r="N817" s="552"/>
      <c r="O817" s="552"/>
    </row>
    <row r="818" spans="14:15" ht="30.95" customHeight="1">
      <c r="N818" s="552"/>
      <c r="O818" s="552"/>
    </row>
    <row r="819" spans="14:15" ht="30.95" customHeight="1">
      <c r="N819" s="552"/>
      <c r="O819" s="552"/>
    </row>
    <row r="820" spans="14:15" ht="30.95" customHeight="1">
      <c r="N820" s="552"/>
      <c r="O820" s="552"/>
    </row>
    <row r="821" spans="14:15" ht="30.95" customHeight="1">
      <c r="N821" s="552"/>
      <c r="O821" s="552"/>
    </row>
    <row r="822" spans="14:15" ht="30.95" customHeight="1">
      <c r="N822" s="552"/>
      <c r="O822" s="552"/>
    </row>
    <row r="823" spans="14:15" ht="30.95" customHeight="1">
      <c r="N823" s="552"/>
      <c r="O823" s="552"/>
    </row>
    <row r="824" spans="14:15" ht="30.95" customHeight="1">
      <c r="N824" s="552"/>
      <c r="O824" s="552"/>
    </row>
    <row r="825" spans="14:15" ht="30.95" customHeight="1">
      <c r="N825" s="552"/>
      <c r="O825" s="552"/>
    </row>
    <row r="826" spans="14:15" ht="30.95" customHeight="1">
      <c r="N826" s="552"/>
      <c r="O826" s="552"/>
    </row>
    <row r="827" spans="14:15" ht="30.95" customHeight="1">
      <c r="N827" s="552"/>
      <c r="O827" s="552"/>
    </row>
    <row r="828" spans="14:15" ht="30.95" customHeight="1">
      <c r="N828" s="552"/>
      <c r="O828" s="552"/>
    </row>
    <row r="829" spans="14:15" ht="30.95" customHeight="1">
      <c r="N829" s="552"/>
      <c r="O829" s="552"/>
    </row>
    <row r="830" spans="14:15" ht="30.95" customHeight="1">
      <c r="N830" s="552"/>
      <c r="O830" s="552"/>
    </row>
    <row r="831" spans="14:15" ht="30.95" customHeight="1">
      <c r="N831" s="552"/>
      <c r="O831" s="552"/>
    </row>
    <row r="832" spans="14:15" ht="30.95" customHeight="1">
      <c r="N832" s="552"/>
      <c r="O832" s="552"/>
    </row>
    <row r="833" spans="14:15" ht="30.95" customHeight="1">
      <c r="N833" s="552"/>
      <c r="O833" s="552"/>
    </row>
    <row r="834" spans="14:15" ht="30.95" customHeight="1">
      <c r="N834" s="552"/>
      <c r="O834" s="552"/>
    </row>
    <row r="835" spans="14:15" ht="30.95" customHeight="1">
      <c r="N835" s="552"/>
      <c r="O835" s="552"/>
    </row>
    <row r="836" spans="14:15" ht="30.95" customHeight="1">
      <c r="N836" s="552"/>
      <c r="O836" s="552"/>
    </row>
    <row r="837" spans="14:15" ht="30.95" customHeight="1">
      <c r="N837" s="552"/>
      <c r="O837" s="552"/>
    </row>
    <row r="838" spans="14:15" ht="30.95" customHeight="1">
      <c r="N838" s="552"/>
      <c r="O838" s="552"/>
    </row>
    <row r="839" spans="14:15" ht="30.95" customHeight="1">
      <c r="N839" s="552"/>
      <c r="O839" s="552"/>
    </row>
    <row r="840" spans="14:15" ht="30.95" customHeight="1">
      <c r="N840" s="552"/>
      <c r="O840" s="552"/>
    </row>
    <row r="841" spans="14:15" ht="30.95" customHeight="1">
      <c r="N841" s="552"/>
      <c r="O841" s="552"/>
    </row>
    <row r="842" spans="14:15" ht="30.95" customHeight="1">
      <c r="N842" s="552"/>
      <c r="O842" s="552"/>
    </row>
    <row r="843" spans="14:15" ht="30.95" customHeight="1">
      <c r="N843" s="552"/>
      <c r="O843" s="552"/>
    </row>
    <row r="844" spans="14:15" ht="30.95" customHeight="1">
      <c r="N844" s="552"/>
      <c r="O844" s="552"/>
    </row>
    <row r="845" spans="14:15" ht="30.95" customHeight="1">
      <c r="N845" s="552"/>
      <c r="O845" s="552"/>
    </row>
    <row r="846" spans="14:15" ht="30.95" customHeight="1">
      <c r="N846" s="552"/>
      <c r="O846" s="552"/>
    </row>
    <row r="847" spans="14:15" ht="30.95" customHeight="1">
      <c r="N847" s="552"/>
      <c r="O847" s="552"/>
    </row>
    <row r="848" spans="14:15" ht="30.95" customHeight="1">
      <c r="N848" s="552"/>
      <c r="O848" s="552"/>
    </row>
    <row r="849" spans="14:15" ht="30.95" customHeight="1">
      <c r="N849" s="552"/>
      <c r="O849" s="552"/>
    </row>
    <row r="850" spans="14:15" ht="30.95" customHeight="1">
      <c r="N850" s="552"/>
      <c r="O850" s="552"/>
    </row>
    <row r="851" spans="14:15" ht="30.95" customHeight="1">
      <c r="N851" s="552"/>
      <c r="O851" s="552"/>
    </row>
    <row r="852" spans="14:15" ht="30.95" customHeight="1">
      <c r="N852" s="552"/>
      <c r="O852" s="552"/>
    </row>
    <row r="853" spans="14:15" ht="30.95" customHeight="1">
      <c r="N853" s="552"/>
      <c r="O853" s="552"/>
    </row>
    <row r="854" spans="14:15" ht="30.95" customHeight="1">
      <c r="N854" s="552"/>
      <c r="O854" s="552"/>
    </row>
    <row r="855" spans="14:15" ht="30.95" customHeight="1">
      <c r="N855" s="552"/>
      <c r="O855" s="552"/>
    </row>
    <row r="856" spans="14:15" ht="30.95" customHeight="1">
      <c r="N856" s="552"/>
      <c r="O856" s="552"/>
    </row>
    <row r="857" spans="14:15" ht="30.95" customHeight="1">
      <c r="N857" s="552"/>
      <c r="O857" s="552"/>
    </row>
    <row r="858" spans="14:15" ht="30.95" customHeight="1">
      <c r="N858" s="552"/>
      <c r="O858" s="552"/>
    </row>
    <row r="859" spans="14:15" ht="30.95" customHeight="1">
      <c r="N859" s="552"/>
      <c r="O859" s="552"/>
    </row>
    <row r="860" spans="14:15" ht="30.95" customHeight="1">
      <c r="N860" s="552"/>
      <c r="O860" s="552"/>
    </row>
    <row r="861" spans="14:15" ht="30.95" customHeight="1">
      <c r="N861" s="552"/>
      <c r="O861" s="552"/>
    </row>
    <row r="862" spans="14:15" ht="30.95" customHeight="1">
      <c r="N862" s="552"/>
      <c r="O862" s="552"/>
    </row>
    <row r="863" spans="14:15" ht="30.95" customHeight="1">
      <c r="N863" s="552"/>
      <c r="O863" s="552"/>
    </row>
    <row r="864" spans="14:15" ht="30.95" customHeight="1">
      <c r="N864" s="552"/>
      <c r="O864" s="552"/>
    </row>
    <row r="865" spans="14:15" ht="30.95" customHeight="1">
      <c r="N865" s="552"/>
      <c r="O865" s="552"/>
    </row>
    <row r="866" spans="14:15" ht="30.95" customHeight="1">
      <c r="N866" s="552"/>
      <c r="O866" s="552"/>
    </row>
    <row r="867" spans="14:15" ht="30.95" customHeight="1">
      <c r="N867" s="552"/>
      <c r="O867" s="552"/>
    </row>
    <row r="868" spans="14:15" ht="30.95" customHeight="1">
      <c r="N868" s="552"/>
      <c r="O868" s="552"/>
    </row>
    <row r="869" spans="14:15" ht="30.95" customHeight="1">
      <c r="N869" s="552"/>
      <c r="O869" s="552"/>
    </row>
    <row r="870" spans="14:15" ht="30.95" customHeight="1">
      <c r="N870" s="552"/>
      <c r="O870" s="552"/>
    </row>
    <row r="871" spans="14:15" ht="30.95" customHeight="1">
      <c r="N871" s="552"/>
      <c r="O871" s="552"/>
    </row>
    <row r="872" spans="14:15" ht="30.95" customHeight="1">
      <c r="N872" s="552"/>
      <c r="O872" s="552"/>
    </row>
    <row r="873" spans="14:15" ht="30.95" customHeight="1">
      <c r="N873" s="552"/>
      <c r="O873" s="552"/>
    </row>
    <row r="874" spans="14:15" ht="30.95" customHeight="1">
      <c r="N874" s="552"/>
      <c r="O874" s="552"/>
    </row>
    <row r="875" spans="14:15" ht="30.95" customHeight="1">
      <c r="N875" s="552"/>
      <c r="O875" s="552"/>
    </row>
    <row r="876" spans="14:15" ht="30.95" customHeight="1">
      <c r="N876" s="552"/>
      <c r="O876" s="552"/>
    </row>
    <row r="877" spans="14:15" ht="30.95" customHeight="1">
      <c r="N877" s="552"/>
      <c r="O877" s="552"/>
    </row>
    <row r="878" spans="14:15" ht="30.95" customHeight="1">
      <c r="N878" s="552"/>
      <c r="O878" s="552"/>
    </row>
    <row r="879" spans="14:15" ht="30.95" customHeight="1">
      <c r="N879" s="552"/>
      <c r="O879" s="552"/>
    </row>
    <row r="880" spans="14:15" ht="30.95" customHeight="1">
      <c r="N880" s="552"/>
      <c r="O880" s="552"/>
    </row>
    <row r="881" spans="14:15" ht="30.95" customHeight="1">
      <c r="N881" s="552"/>
      <c r="O881" s="552"/>
    </row>
    <row r="882" spans="14:15" ht="30.95" customHeight="1">
      <c r="N882" s="552"/>
      <c r="O882" s="552"/>
    </row>
    <row r="883" spans="14:15" ht="30.95" customHeight="1">
      <c r="N883" s="552"/>
      <c r="O883" s="552"/>
    </row>
    <row r="884" spans="14:15" ht="30.95" customHeight="1">
      <c r="N884" s="552"/>
      <c r="O884" s="552"/>
    </row>
    <row r="885" spans="14:15" ht="30.95" customHeight="1">
      <c r="N885" s="552"/>
      <c r="O885" s="552"/>
    </row>
    <row r="886" spans="14:15" ht="30.95" customHeight="1">
      <c r="N886" s="552"/>
      <c r="O886" s="552"/>
    </row>
    <row r="887" spans="14:15" ht="30.95" customHeight="1">
      <c r="N887" s="552"/>
      <c r="O887" s="552"/>
    </row>
    <row r="888" spans="14:15" ht="30.95" customHeight="1">
      <c r="N888" s="552"/>
      <c r="O888" s="552"/>
    </row>
    <row r="889" spans="14:15" ht="30.95" customHeight="1">
      <c r="N889" s="552"/>
      <c r="O889" s="552"/>
    </row>
    <row r="890" spans="14:15" ht="30.95" customHeight="1">
      <c r="N890" s="552"/>
      <c r="O890" s="552"/>
    </row>
    <row r="891" spans="14:15" ht="30.95" customHeight="1">
      <c r="N891" s="552"/>
      <c r="O891" s="552"/>
    </row>
    <row r="892" spans="14:15" ht="30.95" customHeight="1">
      <c r="N892" s="552"/>
      <c r="O892" s="552"/>
    </row>
    <row r="893" spans="14:15" ht="30.95" customHeight="1">
      <c r="N893" s="552"/>
      <c r="O893" s="552"/>
    </row>
    <row r="894" spans="14:15" ht="30.95" customHeight="1">
      <c r="N894" s="552"/>
      <c r="O894" s="552"/>
    </row>
    <row r="895" spans="14:15" ht="30.95" customHeight="1">
      <c r="N895" s="552"/>
      <c r="O895" s="552"/>
    </row>
    <row r="896" spans="14:15" ht="30.95" customHeight="1">
      <c r="N896" s="552"/>
      <c r="O896" s="552"/>
    </row>
    <row r="897" spans="14:15" ht="30.95" customHeight="1">
      <c r="N897" s="552"/>
      <c r="O897" s="552"/>
    </row>
    <row r="898" spans="14:15" ht="30.95" customHeight="1">
      <c r="N898" s="552"/>
      <c r="O898" s="552"/>
    </row>
    <row r="899" spans="14:15" ht="30.95" customHeight="1">
      <c r="N899" s="552"/>
      <c r="O899" s="552"/>
    </row>
    <row r="900" spans="14:15" ht="30.95" customHeight="1">
      <c r="N900" s="552"/>
      <c r="O900" s="552"/>
    </row>
    <row r="901" spans="14:15" ht="30.95" customHeight="1">
      <c r="N901" s="552"/>
      <c r="O901" s="552"/>
    </row>
    <row r="902" spans="14:15" ht="30.95" customHeight="1">
      <c r="N902" s="552"/>
      <c r="O902" s="552"/>
    </row>
    <row r="903" spans="14:15" ht="30.95" customHeight="1">
      <c r="N903" s="552"/>
      <c r="O903" s="552"/>
    </row>
    <row r="904" spans="14:15" ht="30.95" customHeight="1">
      <c r="N904" s="552"/>
      <c r="O904" s="552"/>
    </row>
    <row r="905" spans="14:15" ht="30.95" customHeight="1">
      <c r="N905" s="552"/>
      <c r="O905" s="552"/>
    </row>
    <row r="906" spans="14:15" ht="30.95" customHeight="1">
      <c r="N906" s="552"/>
      <c r="O906" s="552"/>
    </row>
    <row r="907" spans="14:15" ht="30.95" customHeight="1">
      <c r="N907" s="552"/>
      <c r="O907" s="552"/>
    </row>
    <row r="908" spans="14:15" ht="30.95" customHeight="1">
      <c r="N908" s="552"/>
      <c r="O908" s="552"/>
    </row>
    <row r="909" spans="14:15" ht="30.95" customHeight="1">
      <c r="N909" s="552"/>
      <c r="O909" s="552"/>
    </row>
    <row r="910" spans="14:15" ht="30.95" customHeight="1">
      <c r="N910" s="552"/>
      <c r="O910" s="552"/>
    </row>
    <row r="911" spans="14:15" ht="30.95" customHeight="1">
      <c r="N911" s="552"/>
      <c r="O911" s="552"/>
    </row>
    <row r="912" spans="14:15" ht="30.95" customHeight="1">
      <c r="N912" s="552"/>
      <c r="O912" s="552"/>
    </row>
    <row r="913" spans="14:15" ht="30.95" customHeight="1">
      <c r="N913" s="552"/>
      <c r="O913" s="552"/>
    </row>
    <row r="914" spans="14:15" ht="30.95" customHeight="1">
      <c r="N914" s="552"/>
      <c r="O914" s="552"/>
    </row>
    <row r="915" spans="14:15" ht="30.95" customHeight="1">
      <c r="N915" s="552"/>
      <c r="O915" s="552"/>
    </row>
    <row r="916" spans="14:15" ht="30.95" customHeight="1">
      <c r="N916" s="552"/>
      <c r="O916" s="552"/>
    </row>
    <row r="917" spans="14:15" ht="30.95" customHeight="1">
      <c r="N917" s="552"/>
      <c r="O917" s="552"/>
    </row>
    <row r="918" spans="14:15" ht="30.95" customHeight="1">
      <c r="N918" s="552"/>
      <c r="O918" s="552"/>
    </row>
    <row r="919" spans="14:15" ht="30.95" customHeight="1">
      <c r="N919" s="552"/>
      <c r="O919" s="552"/>
    </row>
    <row r="920" spans="14:15" ht="30.95" customHeight="1">
      <c r="N920" s="552"/>
      <c r="O920" s="552"/>
    </row>
    <row r="921" spans="14:15" ht="30.95" customHeight="1">
      <c r="N921" s="552"/>
      <c r="O921" s="552"/>
    </row>
    <row r="922" spans="14:15" ht="30.95" customHeight="1">
      <c r="N922" s="552"/>
      <c r="O922" s="552"/>
    </row>
    <row r="923" spans="14:15" ht="30.95" customHeight="1">
      <c r="N923" s="552"/>
      <c r="O923" s="552"/>
    </row>
    <row r="924" spans="14:15" ht="30.95" customHeight="1">
      <c r="N924" s="552"/>
      <c r="O924" s="552"/>
    </row>
    <row r="925" spans="14:15" ht="30.95" customHeight="1">
      <c r="N925" s="552"/>
      <c r="O925" s="552"/>
    </row>
    <row r="926" spans="14:15" ht="30.95" customHeight="1">
      <c r="N926" s="552"/>
      <c r="O926" s="552"/>
    </row>
    <row r="927" spans="14:15" ht="30.95" customHeight="1">
      <c r="N927" s="552"/>
      <c r="O927" s="552"/>
    </row>
    <row r="928" spans="14:15" ht="30.95" customHeight="1">
      <c r="N928" s="552"/>
      <c r="O928" s="552"/>
    </row>
    <row r="929" spans="14:15" ht="30.95" customHeight="1">
      <c r="N929" s="552"/>
      <c r="O929" s="552"/>
    </row>
    <row r="930" spans="14:15" ht="30.95" customHeight="1">
      <c r="N930" s="552"/>
      <c r="O930" s="552"/>
    </row>
    <row r="931" spans="14:15" ht="30.95" customHeight="1">
      <c r="N931" s="552"/>
      <c r="O931" s="552"/>
    </row>
    <row r="932" spans="14:15" ht="30.95" customHeight="1">
      <c r="N932" s="552"/>
      <c r="O932" s="552"/>
    </row>
    <row r="933" spans="14:15" ht="30.95" customHeight="1">
      <c r="N933" s="552"/>
      <c r="O933" s="552"/>
    </row>
    <row r="934" spans="14:15" ht="30.95" customHeight="1">
      <c r="N934" s="552"/>
      <c r="O934" s="552"/>
    </row>
    <row r="935" spans="14:15" ht="30.95" customHeight="1">
      <c r="N935" s="552"/>
      <c r="O935" s="552"/>
    </row>
    <row r="936" spans="14:15" ht="30.95" customHeight="1">
      <c r="N936" s="552"/>
      <c r="O936" s="552"/>
    </row>
    <row r="937" spans="14:15" ht="30.95" customHeight="1">
      <c r="N937" s="552"/>
      <c r="O937" s="552"/>
    </row>
    <row r="938" spans="14:15" ht="30.95" customHeight="1">
      <c r="N938" s="552"/>
      <c r="O938" s="552"/>
    </row>
    <row r="939" spans="14:15" ht="30.95" customHeight="1">
      <c r="N939" s="552"/>
      <c r="O939" s="552"/>
    </row>
    <row r="940" spans="14:15" ht="30.95" customHeight="1">
      <c r="N940" s="552"/>
      <c r="O940" s="552"/>
    </row>
    <row r="941" spans="14:15" ht="30.95" customHeight="1">
      <c r="N941" s="552"/>
      <c r="O941" s="552"/>
    </row>
    <row r="942" spans="14:15" ht="30.95" customHeight="1">
      <c r="N942" s="552"/>
      <c r="O942" s="552"/>
    </row>
    <row r="943" spans="14:15" ht="30.95" customHeight="1">
      <c r="N943" s="552"/>
      <c r="O943" s="552"/>
    </row>
    <row r="944" spans="14:15" ht="30.95" customHeight="1">
      <c r="N944" s="552"/>
      <c r="O944" s="552"/>
    </row>
    <row r="945" spans="14:15" ht="30.95" customHeight="1">
      <c r="N945" s="552"/>
      <c r="O945" s="552"/>
    </row>
    <row r="946" spans="14:15" ht="30.95" customHeight="1">
      <c r="N946" s="552"/>
      <c r="O946" s="552"/>
    </row>
    <row r="947" spans="14:15" ht="30.95" customHeight="1">
      <c r="N947" s="552"/>
      <c r="O947" s="552"/>
    </row>
    <row r="948" spans="14:15" ht="30.95" customHeight="1">
      <c r="N948" s="552"/>
      <c r="O948" s="552"/>
    </row>
    <row r="949" spans="14:15" ht="30.95" customHeight="1">
      <c r="N949" s="552"/>
      <c r="O949" s="552"/>
    </row>
    <row r="950" spans="14:15" ht="30.95" customHeight="1">
      <c r="N950" s="552"/>
      <c r="O950" s="552"/>
    </row>
    <row r="951" spans="14:15" ht="30.95" customHeight="1">
      <c r="N951" s="552"/>
      <c r="O951" s="552"/>
    </row>
    <row r="952" spans="14:15" ht="30.95" customHeight="1">
      <c r="N952" s="552"/>
      <c r="O952" s="552"/>
    </row>
    <row r="953" spans="14:15" ht="30.95" customHeight="1">
      <c r="N953" s="552"/>
      <c r="O953" s="552"/>
    </row>
    <row r="954" spans="14:15" ht="30.95" customHeight="1">
      <c r="N954" s="552"/>
      <c r="O954" s="552"/>
    </row>
    <row r="955" spans="14:15" ht="30.95" customHeight="1">
      <c r="N955" s="552"/>
      <c r="O955" s="552"/>
    </row>
    <row r="956" spans="14:15" ht="30.95" customHeight="1">
      <c r="N956" s="552"/>
      <c r="O956" s="552"/>
    </row>
    <row r="957" spans="14:15" ht="30.95" customHeight="1">
      <c r="N957" s="552"/>
      <c r="O957" s="552"/>
    </row>
    <row r="958" spans="14:15" ht="30.95" customHeight="1">
      <c r="N958" s="552"/>
      <c r="O958" s="552"/>
    </row>
    <row r="959" spans="14:15" ht="30.95" customHeight="1">
      <c r="N959" s="552"/>
      <c r="O959" s="552"/>
    </row>
    <row r="960" spans="14:15" ht="30.95" customHeight="1">
      <c r="N960" s="552"/>
      <c r="O960" s="552"/>
    </row>
    <row r="961" spans="14:15" ht="30.95" customHeight="1">
      <c r="N961" s="552"/>
      <c r="O961" s="552"/>
    </row>
    <row r="962" spans="14:15" ht="30.95" customHeight="1">
      <c r="N962" s="552"/>
      <c r="O962" s="552"/>
    </row>
    <row r="963" spans="14:15" ht="30.95" customHeight="1">
      <c r="N963" s="552"/>
      <c r="O963" s="552"/>
    </row>
    <row r="964" spans="14:15" ht="30.95" customHeight="1">
      <c r="N964" s="552"/>
      <c r="O964" s="552"/>
    </row>
    <row r="965" spans="14:15" ht="30.95" customHeight="1">
      <c r="N965" s="552"/>
      <c r="O965" s="552"/>
    </row>
    <row r="966" spans="14:15" ht="30.95" customHeight="1">
      <c r="N966" s="552"/>
      <c r="O966" s="552"/>
    </row>
    <row r="967" spans="14:15" ht="30.95" customHeight="1">
      <c r="N967" s="552"/>
      <c r="O967" s="552"/>
    </row>
    <row r="968" spans="14:15" ht="30.95" customHeight="1">
      <c r="N968" s="552"/>
      <c r="O968" s="552"/>
    </row>
    <row r="969" spans="14:15" ht="30.95" customHeight="1">
      <c r="N969" s="552"/>
      <c r="O969" s="552"/>
    </row>
    <row r="970" spans="14:15" ht="30.95" customHeight="1">
      <c r="N970" s="552"/>
      <c r="O970" s="552"/>
    </row>
    <row r="971" spans="14:15" ht="30.95" customHeight="1">
      <c r="N971" s="552"/>
      <c r="O971" s="552"/>
    </row>
    <row r="972" spans="14:15" ht="30.95" customHeight="1">
      <c r="N972" s="552"/>
      <c r="O972" s="552"/>
    </row>
    <row r="973" spans="14:15" ht="30.95" customHeight="1">
      <c r="N973" s="552"/>
      <c r="O973" s="552"/>
    </row>
    <row r="974" spans="14:15" ht="30.95" customHeight="1">
      <c r="N974" s="552"/>
      <c r="O974" s="552"/>
    </row>
    <row r="975" spans="14:15" ht="30.95" customHeight="1">
      <c r="N975" s="552"/>
      <c r="O975" s="552"/>
    </row>
    <row r="976" spans="14:15" ht="30.95" customHeight="1">
      <c r="N976" s="552"/>
      <c r="O976" s="552"/>
    </row>
    <row r="977" spans="14:15" ht="30.95" customHeight="1">
      <c r="N977" s="552"/>
      <c r="O977" s="552"/>
    </row>
    <row r="978" spans="14:15" ht="30.95" customHeight="1">
      <c r="N978" s="552"/>
      <c r="O978" s="552"/>
    </row>
    <row r="979" spans="14:15" ht="30.95" customHeight="1">
      <c r="N979" s="552"/>
      <c r="O979" s="552"/>
    </row>
    <row r="980" spans="14:15" ht="30.95" customHeight="1">
      <c r="N980" s="552"/>
      <c r="O980" s="552"/>
    </row>
    <row r="981" spans="14:15" ht="30.95" customHeight="1">
      <c r="N981" s="552"/>
      <c r="O981" s="552"/>
    </row>
    <row r="982" spans="14:15" ht="30.95" customHeight="1">
      <c r="N982" s="552"/>
      <c r="O982" s="552"/>
    </row>
    <row r="983" spans="14:15" ht="30.95" customHeight="1">
      <c r="N983" s="552"/>
      <c r="O983" s="552"/>
    </row>
    <row r="984" spans="14:15" ht="30.95" customHeight="1">
      <c r="N984" s="552"/>
      <c r="O984" s="552"/>
    </row>
    <row r="985" spans="14:15" ht="30.95" customHeight="1">
      <c r="N985" s="552"/>
      <c r="O985" s="552"/>
    </row>
    <row r="986" spans="14:15" ht="30.95" customHeight="1">
      <c r="N986" s="552"/>
      <c r="O986" s="552"/>
    </row>
    <row r="987" spans="14:15" ht="30.95" customHeight="1">
      <c r="N987" s="552"/>
      <c r="O987" s="552"/>
    </row>
    <row r="988" spans="14:15" ht="30.95" customHeight="1">
      <c r="N988" s="552"/>
      <c r="O988" s="552"/>
    </row>
    <row r="989" spans="14:15" ht="30.95" customHeight="1">
      <c r="N989" s="552"/>
      <c r="O989" s="552"/>
    </row>
    <row r="990" spans="14:15" ht="30.95" customHeight="1">
      <c r="N990" s="552"/>
      <c r="O990" s="552"/>
    </row>
    <row r="991" spans="14:15" ht="30.95" customHeight="1">
      <c r="N991" s="552"/>
      <c r="O991" s="552"/>
    </row>
    <row r="992" spans="14:15" ht="30.95" customHeight="1">
      <c r="N992" s="552"/>
      <c r="O992" s="552"/>
    </row>
    <row r="993" spans="14:15" ht="30.95" customHeight="1">
      <c r="N993" s="552"/>
      <c r="O993" s="552"/>
    </row>
    <row r="994" spans="14:15" ht="30.95" customHeight="1">
      <c r="N994" s="552"/>
      <c r="O994" s="552"/>
    </row>
    <row r="995" spans="14:15" ht="30.95" customHeight="1">
      <c r="N995" s="552"/>
      <c r="O995" s="552"/>
    </row>
    <row r="996" spans="14:15" ht="30.95" customHeight="1">
      <c r="N996" s="552"/>
      <c r="O996" s="552"/>
    </row>
    <row r="997" spans="14:15" ht="30.95" customHeight="1">
      <c r="N997" s="552"/>
      <c r="O997" s="552"/>
    </row>
    <row r="998" spans="14:15" ht="30.95" customHeight="1">
      <c r="N998" s="552"/>
      <c r="O998" s="552"/>
    </row>
    <row r="999" spans="14:15" ht="30.95" customHeight="1">
      <c r="N999" s="552"/>
      <c r="O999" s="552"/>
    </row>
    <row r="1000" spans="14:15" ht="30.95" customHeight="1">
      <c r="N1000" s="552"/>
      <c r="O1000" s="552"/>
    </row>
    <row r="1001" spans="14:15" ht="30.95" customHeight="1">
      <c r="N1001" s="552"/>
      <c r="O1001" s="552"/>
    </row>
    <row r="1002" spans="14:15" ht="30.95" customHeight="1">
      <c r="N1002" s="552"/>
      <c r="O1002" s="552"/>
    </row>
    <row r="1003" spans="14:15" ht="30.95" customHeight="1">
      <c r="N1003" s="552"/>
      <c r="O1003" s="552"/>
    </row>
    <row r="1004" spans="14:15" ht="30.95" customHeight="1">
      <c r="N1004" s="552"/>
      <c r="O1004" s="552"/>
    </row>
    <row r="1005" spans="14:15" ht="30.95" customHeight="1">
      <c r="N1005" s="552"/>
      <c r="O1005" s="552"/>
    </row>
    <row r="1006" spans="14:15" ht="30.95" customHeight="1">
      <c r="N1006" s="552"/>
      <c r="O1006" s="552"/>
    </row>
    <row r="1007" spans="14:15" ht="30.95" customHeight="1">
      <c r="N1007" s="552"/>
      <c r="O1007" s="552"/>
    </row>
    <row r="1008" spans="14:15" ht="30.95" customHeight="1">
      <c r="N1008" s="552"/>
      <c r="O1008" s="552"/>
    </row>
    <row r="1009" spans="14:15" ht="30.95" customHeight="1">
      <c r="N1009" s="552"/>
      <c r="O1009" s="552"/>
    </row>
    <row r="1010" spans="14:15" ht="30.95" customHeight="1">
      <c r="N1010" s="552"/>
      <c r="O1010" s="552"/>
    </row>
    <row r="1011" spans="14:15" ht="30.95" customHeight="1">
      <c r="N1011" s="552"/>
      <c r="O1011" s="552"/>
    </row>
    <row r="1012" spans="14:15" ht="30.95" customHeight="1">
      <c r="N1012" s="552"/>
      <c r="O1012" s="552"/>
    </row>
    <row r="1013" spans="14:15" ht="30.95" customHeight="1">
      <c r="N1013" s="552"/>
      <c r="O1013" s="552"/>
    </row>
    <row r="1014" spans="14:15" ht="30.95" customHeight="1">
      <c r="N1014" s="552"/>
      <c r="O1014" s="552"/>
    </row>
    <row r="1015" spans="14:15" ht="30.95" customHeight="1">
      <c r="N1015" s="552"/>
      <c r="O1015" s="552"/>
    </row>
    <row r="1016" spans="14:15" ht="30.95" customHeight="1">
      <c r="N1016" s="552"/>
      <c r="O1016" s="552"/>
    </row>
    <row r="1017" spans="14:15" ht="30.95" customHeight="1">
      <c r="N1017" s="552"/>
      <c r="O1017" s="552"/>
    </row>
    <row r="1018" spans="14:15" ht="30.95" customHeight="1">
      <c r="N1018" s="552"/>
      <c r="O1018" s="552"/>
    </row>
    <row r="1019" spans="14:15" ht="30.95" customHeight="1">
      <c r="N1019" s="552"/>
      <c r="O1019" s="552"/>
    </row>
    <row r="1020" spans="14:15" ht="30.95" customHeight="1">
      <c r="N1020" s="552"/>
      <c r="O1020" s="552"/>
    </row>
    <row r="1021" spans="14:15" ht="30.95" customHeight="1">
      <c r="N1021" s="552"/>
      <c r="O1021" s="552"/>
    </row>
    <row r="1022" spans="14:15" ht="30.95" customHeight="1">
      <c r="N1022" s="552"/>
      <c r="O1022" s="552"/>
    </row>
    <row r="1023" spans="14:15" ht="30.95" customHeight="1">
      <c r="N1023" s="552"/>
      <c r="O1023" s="552"/>
    </row>
    <row r="1024" spans="14:15" ht="30.95" customHeight="1">
      <c r="N1024" s="552"/>
      <c r="O1024" s="552"/>
    </row>
    <row r="1025" spans="14:15" ht="30.95" customHeight="1">
      <c r="N1025" s="552"/>
      <c r="O1025" s="552"/>
    </row>
    <row r="1026" spans="14:15" ht="30.95" customHeight="1">
      <c r="N1026" s="552"/>
      <c r="O1026" s="552"/>
    </row>
    <row r="1027" spans="14:15" ht="30.95" customHeight="1">
      <c r="N1027" s="552"/>
      <c r="O1027" s="552"/>
    </row>
    <row r="1028" spans="14:15" ht="30.95" customHeight="1">
      <c r="N1028" s="552"/>
      <c r="O1028" s="552"/>
    </row>
    <row r="1029" spans="14:15" ht="30.95" customHeight="1">
      <c r="N1029" s="552"/>
      <c r="O1029" s="552"/>
    </row>
    <row r="1030" spans="14:15" ht="30.95" customHeight="1">
      <c r="N1030" s="552"/>
      <c r="O1030" s="552"/>
    </row>
    <row r="1031" spans="14:15" ht="30.95" customHeight="1">
      <c r="N1031" s="552"/>
      <c r="O1031" s="552"/>
    </row>
    <row r="1032" spans="14:15" ht="30.95" customHeight="1">
      <c r="N1032" s="552"/>
      <c r="O1032" s="552"/>
    </row>
    <row r="1033" spans="14:15" ht="30.95" customHeight="1">
      <c r="N1033" s="552"/>
      <c r="O1033" s="552"/>
    </row>
    <row r="1034" spans="14:15" ht="30.95" customHeight="1">
      <c r="N1034" s="552"/>
      <c r="O1034" s="552"/>
    </row>
    <row r="1035" spans="14:15" ht="30.95" customHeight="1">
      <c r="N1035" s="552"/>
      <c r="O1035" s="552"/>
    </row>
    <row r="1036" spans="14:15" ht="30.95" customHeight="1">
      <c r="N1036" s="552"/>
      <c r="O1036" s="552"/>
    </row>
    <row r="1037" spans="14:15" ht="30.95" customHeight="1">
      <c r="N1037" s="552"/>
      <c r="O1037" s="552"/>
    </row>
    <row r="1038" spans="14:15" ht="30.95" customHeight="1">
      <c r="N1038" s="552"/>
      <c r="O1038" s="552"/>
    </row>
    <row r="1039" spans="14:15" ht="30.95" customHeight="1">
      <c r="N1039" s="552"/>
      <c r="O1039" s="552"/>
    </row>
    <row r="1040" spans="14:15" ht="30.95" customHeight="1">
      <c r="N1040" s="552"/>
      <c r="O1040" s="552"/>
    </row>
    <row r="1041" spans="14:15" ht="30.95" customHeight="1">
      <c r="N1041" s="552"/>
      <c r="O1041" s="552"/>
    </row>
    <row r="1042" spans="14:15" ht="30.95" customHeight="1">
      <c r="N1042" s="552"/>
      <c r="O1042" s="552"/>
    </row>
    <row r="1043" spans="14:15" ht="30.95" customHeight="1">
      <c r="N1043" s="552"/>
      <c r="O1043" s="552"/>
    </row>
    <row r="1044" spans="14:15" ht="30.95" customHeight="1">
      <c r="N1044" s="552"/>
      <c r="O1044" s="552"/>
    </row>
    <row r="1045" spans="14:15" ht="30.95" customHeight="1">
      <c r="N1045" s="552"/>
      <c r="O1045" s="552"/>
    </row>
    <row r="1046" spans="14:15" ht="30.95" customHeight="1">
      <c r="N1046" s="552"/>
      <c r="O1046" s="552"/>
    </row>
    <row r="1047" spans="14:15" ht="30.95" customHeight="1">
      <c r="N1047" s="552"/>
      <c r="O1047" s="552"/>
    </row>
    <row r="1048" spans="14:15" ht="30.95" customHeight="1">
      <c r="N1048" s="552"/>
      <c r="O1048" s="552"/>
    </row>
    <row r="1049" spans="14:15" ht="30.95" customHeight="1">
      <c r="N1049" s="552"/>
      <c r="O1049" s="552"/>
    </row>
    <row r="1050" spans="14:15" ht="30.95" customHeight="1">
      <c r="N1050" s="552"/>
      <c r="O1050" s="552"/>
    </row>
    <row r="1051" spans="14:15" ht="30.95" customHeight="1">
      <c r="N1051" s="552"/>
      <c r="O1051" s="552"/>
    </row>
    <row r="1052" spans="14:15" ht="30.95" customHeight="1">
      <c r="N1052" s="552"/>
      <c r="O1052" s="552"/>
    </row>
    <row r="1053" spans="14:15" ht="30.95" customHeight="1">
      <c r="N1053" s="552"/>
      <c r="O1053" s="552"/>
    </row>
    <row r="1054" spans="14:15" ht="30.95" customHeight="1">
      <c r="N1054" s="552"/>
      <c r="O1054" s="552"/>
    </row>
    <row r="1055" spans="14:15" ht="30.95" customHeight="1">
      <c r="N1055" s="552"/>
      <c r="O1055" s="552"/>
    </row>
    <row r="1056" spans="14:15" ht="30.95" customHeight="1">
      <c r="N1056" s="552"/>
      <c r="O1056" s="552"/>
    </row>
    <row r="1057" spans="14:15" ht="30.95" customHeight="1">
      <c r="N1057" s="552"/>
      <c r="O1057" s="552"/>
    </row>
    <row r="1058" spans="14:15" ht="30.95" customHeight="1">
      <c r="N1058" s="552"/>
      <c r="O1058" s="552"/>
    </row>
    <row r="1059" spans="14:15" ht="30.95" customHeight="1">
      <c r="N1059" s="552"/>
      <c r="O1059" s="552"/>
    </row>
    <row r="1060" spans="14:15" ht="30.95" customHeight="1">
      <c r="N1060" s="552"/>
      <c r="O1060" s="552"/>
    </row>
    <row r="1061" spans="14:15" ht="30.95" customHeight="1">
      <c r="N1061" s="552"/>
      <c r="O1061" s="552"/>
    </row>
    <row r="1062" spans="14:15" ht="30.95" customHeight="1">
      <c r="N1062" s="552"/>
      <c r="O1062" s="552"/>
    </row>
    <row r="1063" spans="14:15" ht="30.95" customHeight="1">
      <c r="N1063" s="552"/>
      <c r="O1063" s="552"/>
    </row>
    <row r="1064" spans="14:15" ht="30.95" customHeight="1">
      <c r="N1064" s="552"/>
      <c r="O1064" s="552"/>
    </row>
    <row r="1065" spans="14:15" ht="30.95" customHeight="1">
      <c r="N1065" s="552"/>
      <c r="O1065" s="552"/>
    </row>
    <row r="1066" spans="14:15" ht="30.95" customHeight="1">
      <c r="N1066" s="552"/>
      <c r="O1066" s="552"/>
    </row>
    <row r="1067" spans="14:15" ht="30.95" customHeight="1">
      <c r="N1067" s="552"/>
      <c r="O1067" s="552"/>
    </row>
    <row r="1068" spans="14:15" ht="30.95" customHeight="1">
      <c r="N1068" s="552"/>
      <c r="O1068" s="552"/>
    </row>
    <row r="1069" spans="14:15" ht="30.95" customHeight="1">
      <c r="N1069" s="552"/>
      <c r="O1069" s="552"/>
    </row>
    <row r="1070" spans="14:15" ht="30.95" customHeight="1">
      <c r="N1070" s="552"/>
      <c r="O1070" s="552"/>
    </row>
    <row r="1071" spans="14:15" ht="30.95" customHeight="1">
      <c r="N1071" s="552"/>
      <c r="O1071" s="552"/>
    </row>
    <row r="1072" spans="14:15" ht="30.95" customHeight="1">
      <c r="N1072" s="552"/>
      <c r="O1072" s="552"/>
    </row>
    <row r="1073" spans="14:15" ht="30.95" customHeight="1">
      <c r="N1073" s="552"/>
      <c r="O1073" s="552"/>
    </row>
    <row r="1074" spans="14:15" ht="30.95" customHeight="1">
      <c r="N1074" s="552"/>
      <c r="O1074" s="552"/>
    </row>
    <row r="1075" spans="14:15" ht="30.95" customHeight="1">
      <c r="N1075" s="552"/>
      <c r="O1075" s="552"/>
    </row>
    <row r="1076" spans="14:15" ht="30.95" customHeight="1">
      <c r="N1076" s="552"/>
      <c r="O1076" s="552"/>
    </row>
    <row r="1077" spans="14:15" ht="30.95" customHeight="1">
      <c r="N1077" s="552"/>
      <c r="O1077" s="552"/>
    </row>
    <row r="1078" spans="14:15" ht="30.95" customHeight="1">
      <c r="N1078" s="552"/>
      <c r="O1078" s="552"/>
    </row>
    <row r="1079" spans="14:15" ht="30.95" customHeight="1">
      <c r="N1079" s="552"/>
      <c r="O1079" s="552"/>
    </row>
    <row r="1080" spans="14:15" ht="30.95" customHeight="1">
      <c r="N1080" s="552"/>
      <c r="O1080" s="552"/>
    </row>
    <row r="1081" spans="14:15" ht="30.95" customHeight="1">
      <c r="N1081" s="552"/>
      <c r="O1081" s="552"/>
    </row>
    <row r="1082" spans="14:15" ht="30.95" customHeight="1">
      <c r="N1082" s="552"/>
      <c r="O1082" s="552"/>
    </row>
    <row r="1083" spans="14:15" ht="30.95" customHeight="1">
      <c r="N1083" s="552"/>
      <c r="O1083" s="552"/>
    </row>
    <row r="1084" spans="14:15" ht="30.95" customHeight="1">
      <c r="N1084" s="552"/>
      <c r="O1084" s="552"/>
    </row>
    <row r="1085" spans="14:15" ht="30.95" customHeight="1">
      <c r="N1085" s="552"/>
      <c r="O1085" s="552"/>
    </row>
    <row r="1086" spans="14:15" ht="30.95" customHeight="1">
      <c r="N1086" s="552"/>
      <c r="O1086" s="552"/>
    </row>
    <row r="1087" spans="14:15" ht="30.95" customHeight="1">
      <c r="N1087" s="552"/>
      <c r="O1087" s="552"/>
    </row>
    <row r="1088" spans="14:15" ht="30.95" customHeight="1">
      <c r="N1088" s="552"/>
      <c r="O1088" s="552"/>
    </row>
    <row r="1089" spans="14:15" ht="30.95" customHeight="1">
      <c r="N1089" s="552"/>
      <c r="O1089" s="552"/>
    </row>
    <row r="1090" spans="14:15" ht="30.95" customHeight="1">
      <c r="N1090" s="552"/>
      <c r="O1090" s="552"/>
    </row>
    <row r="1091" spans="14:15" ht="30.95" customHeight="1">
      <c r="N1091" s="552"/>
      <c r="O1091" s="552"/>
    </row>
    <row r="1092" spans="14:15" ht="30.95" customHeight="1">
      <c r="N1092" s="552"/>
      <c r="O1092" s="552"/>
    </row>
    <row r="1093" spans="14:15" ht="30.95" customHeight="1">
      <c r="N1093" s="552"/>
      <c r="O1093" s="552"/>
    </row>
    <row r="1094" spans="14:15" ht="30.95" customHeight="1">
      <c r="N1094" s="552"/>
      <c r="O1094" s="552"/>
    </row>
    <row r="1095" spans="14:15" ht="30.95" customHeight="1">
      <c r="N1095" s="552"/>
      <c r="O1095" s="552"/>
    </row>
    <row r="1096" spans="14:15" ht="30.95" customHeight="1">
      <c r="N1096" s="552"/>
      <c r="O1096" s="552"/>
    </row>
    <row r="1097" spans="14:15" ht="30.95" customHeight="1">
      <c r="N1097" s="552"/>
      <c r="O1097" s="552"/>
    </row>
    <row r="1098" spans="14:15" ht="30.95" customHeight="1">
      <c r="N1098" s="552"/>
      <c r="O1098" s="552"/>
    </row>
    <row r="1099" spans="14:15" ht="30.95" customHeight="1">
      <c r="N1099" s="552"/>
      <c r="O1099" s="552"/>
    </row>
    <row r="1100" spans="14:15" ht="30.95" customHeight="1">
      <c r="N1100" s="552"/>
      <c r="O1100" s="552"/>
    </row>
    <row r="1101" spans="14:15" ht="30.95" customHeight="1">
      <c r="N1101" s="552"/>
      <c r="O1101" s="552"/>
    </row>
    <row r="1102" spans="14:15" ht="30.95" customHeight="1">
      <c r="N1102" s="552"/>
      <c r="O1102" s="552"/>
    </row>
    <row r="1103" spans="14:15" ht="30.95" customHeight="1">
      <c r="N1103" s="552"/>
      <c r="O1103" s="552"/>
    </row>
    <row r="1104" spans="14:15" ht="30.95" customHeight="1">
      <c r="N1104" s="552"/>
      <c r="O1104" s="552"/>
    </row>
    <row r="1105" spans="14:15" ht="30.95" customHeight="1">
      <c r="N1105" s="552"/>
      <c r="O1105" s="552"/>
    </row>
    <row r="1106" spans="14:15" ht="30.95" customHeight="1">
      <c r="N1106" s="552"/>
      <c r="O1106" s="552"/>
    </row>
    <row r="1107" spans="14:15" ht="30.95" customHeight="1">
      <c r="N1107" s="552"/>
      <c r="O1107" s="552"/>
    </row>
    <row r="1108" spans="14:15" ht="30.95" customHeight="1">
      <c r="N1108" s="552"/>
      <c r="O1108" s="552"/>
    </row>
    <row r="1109" spans="14:15" ht="30.95" customHeight="1">
      <c r="N1109" s="552"/>
      <c r="O1109" s="552"/>
    </row>
    <row r="1110" spans="14:15" ht="30.95" customHeight="1">
      <c r="N1110" s="552"/>
      <c r="O1110" s="552"/>
    </row>
    <row r="1111" spans="14:15" ht="30.95" customHeight="1">
      <c r="N1111" s="552"/>
      <c r="O1111" s="552"/>
    </row>
    <row r="1112" spans="14:15" ht="30.95" customHeight="1">
      <c r="N1112" s="552"/>
      <c r="O1112" s="552"/>
    </row>
    <row r="1113" spans="14:15" ht="30.95" customHeight="1">
      <c r="N1113" s="552"/>
      <c r="O1113" s="552"/>
    </row>
    <row r="1114" spans="14:15" ht="30.95" customHeight="1">
      <c r="N1114" s="552"/>
      <c r="O1114" s="552"/>
    </row>
    <row r="1115" spans="14:15" ht="30.95" customHeight="1">
      <c r="N1115" s="552"/>
      <c r="O1115" s="552"/>
    </row>
    <row r="1116" spans="14:15" ht="30.95" customHeight="1">
      <c r="N1116" s="552"/>
      <c r="O1116" s="552"/>
    </row>
    <row r="1117" spans="14:15" ht="30.95" customHeight="1">
      <c r="N1117" s="552"/>
      <c r="O1117" s="552"/>
    </row>
    <row r="1118" spans="14:15" ht="30.95" customHeight="1">
      <c r="N1118" s="552"/>
      <c r="O1118" s="552"/>
    </row>
    <row r="1119" spans="14:15" ht="30.95" customHeight="1">
      <c r="N1119" s="552"/>
      <c r="O1119" s="552"/>
    </row>
    <row r="1120" spans="14:15" ht="30.95" customHeight="1">
      <c r="N1120" s="552"/>
      <c r="O1120" s="552"/>
    </row>
    <row r="1121" spans="14:15" ht="30.95" customHeight="1">
      <c r="N1121" s="552"/>
      <c r="O1121" s="552"/>
    </row>
    <row r="1122" spans="14:15" ht="30.95" customHeight="1">
      <c r="N1122" s="552"/>
      <c r="O1122" s="552"/>
    </row>
    <row r="1123" spans="14:15" ht="30.95" customHeight="1">
      <c r="N1123" s="552"/>
      <c r="O1123" s="552"/>
    </row>
    <row r="1124" spans="14:15" ht="30.95" customHeight="1">
      <c r="N1124" s="552"/>
      <c r="O1124" s="552"/>
    </row>
    <row r="1125" spans="14:15" ht="30.95" customHeight="1">
      <c r="N1125" s="552"/>
      <c r="O1125" s="552"/>
    </row>
    <row r="1126" spans="14:15" ht="30.95" customHeight="1">
      <c r="N1126" s="552"/>
      <c r="O1126" s="552"/>
    </row>
    <row r="1127" spans="14:15" ht="30.95" customHeight="1">
      <c r="N1127" s="552"/>
      <c r="O1127" s="552"/>
    </row>
    <row r="1128" spans="14:15" ht="30.95" customHeight="1">
      <c r="N1128" s="552"/>
      <c r="O1128" s="552"/>
    </row>
    <row r="1129" spans="14:15" ht="30.95" customHeight="1">
      <c r="N1129" s="552"/>
      <c r="O1129" s="552"/>
    </row>
    <row r="1130" spans="14:15" ht="30.95" customHeight="1">
      <c r="N1130" s="552"/>
      <c r="O1130" s="552"/>
    </row>
    <row r="1131" spans="14:15" ht="30.95" customHeight="1">
      <c r="N1131" s="552"/>
      <c r="O1131" s="552"/>
    </row>
    <row r="1132" spans="14:15" ht="30.95" customHeight="1">
      <c r="N1132" s="552"/>
      <c r="O1132" s="552"/>
    </row>
    <row r="1133" spans="14:15" ht="30.95" customHeight="1">
      <c r="N1133" s="552"/>
      <c r="O1133" s="552"/>
    </row>
    <row r="1134" spans="14:15" ht="30.95" customHeight="1">
      <c r="N1134" s="552"/>
      <c r="O1134" s="552"/>
    </row>
    <row r="1135" spans="14:15" ht="30.95" customHeight="1">
      <c r="N1135" s="552"/>
      <c r="O1135" s="552"/>
    </row>
    <row r="1136" spans="14:15" ht="30.95" customHeight="1">
      <c r="N1136" s="552"/>
      <c r="O1136" s="552"/>
    </row>
    <row r="1137" spans="14:15" ht="30.95" customHeight="1">
      <c r="N1137" s="552"/>
      <c r="O1137" s="552"/>
    </row>
    <row r="1138" spans="14:15" ht="30.95" customHeight="1">
      <c r="N1138" s="552"/>
      <c r="O1138" s="552"/>
    </row>
    <row r="1139" spans="14:15" ht="30.95" customHeight="1">
      <c r="N1139" s="552"/>
      <c r="O1139" s="552"/>
    </row>
    <row r="1140" spans="14:15" ht="30.95" customHeight="1">
      <c r="N1140" s="552"/>
      <c r="O1140" s="552"/>
    </row>
    <row r="1141" spans="14:15" ht="30.95" customHeight="1">
      <c r="N1141" s="552"/>
      <c r="O1141" s="552"/>
    </row>
    <row r="1142" spans="14:15" ht="30.95" customHeight="1">
      <c r="N1142" s="552"/>
      <c r="O1142" s="552"/>
    </row>
    <row r="1143" spans="14:15" ht="30.95" customHeight="1">
      <c r="N1143" s="552"/>
      <c r="O1143" s="552"/>
    </row>
    <row r="1144" spans="14:15" ht="30.95" customHeight="1">
      <c r="N1144" s="552"/>
      <c r="O1144" s="552"/>
    </row>
    <row r="1145" spans="14:15" ht="30.95" customHeight="1">
      <c r="N1145" s="552"/>
      <c r="O1145" s="552"/>
    </row>
    <row r="1146" spans="14:15" ht="30.95" customHeight="1">
      <c r="N1146" s="552"/>
      <c r="O1146" s="552"/>
    </row>
    <row r="1147" spans="14:15" ht="30.95" customHeight="1">
      <c r="N1147" s="552"/>
      <c r="O1147" s="552"/>
    </row>
    <row r="1148" spans="14:15" ht="30.95" customHeight="1">
      <c r="N1148" s="552"/>
      <c r="O1148" s="552"/>
    </row>
    <row r="1149" spans="14:15" ht="30.95" customHeight="1">
      <c r="N1149" s="552"/>
      <c r="O1149" s="552"/>
    </row>
    <row r="1150" spans="14:15" ht="30.95" customHeight="1">
      <c r="N1150" s="552"/>
      <c r="O1150" s="552"/>
    </row>
    <row r="1151" spans="14:15" ht="30.95" customHeight="1">
      <c r="N1151" s="552"/>
      <c r="O1151" s="552"/>
    </row>
    <row r="1152" spans="14:15" ht="30.95" customHeight="1">
      <c r="N1152" s="552"/>
      <c r="O1152" s="552"/>
    </row>
    <row r="1153" spans="14:15" ht="30.95" customHeight="1">
      <c r="N1153" s="552"/>
      <c r="O1153" s="552"/>
    </row>
    <row r="1154" spans="14:15" ht="30.95" customHeight="1">
      <c r="N1154" s="552"/>
      <c r="O1154" s="552"/>
    </row>
    <row r="1155" spans="14:15" ht="30.95" customHeight="1">
      <c r="N1155" s="552"/>
      <c r="O1155" s="552"/>
    </row>
    <row r="1156" spans="14:15" ht="30.95" customHeight="1">
      <c r="N1156" s="552"/>
      <c r="O1156" s="552"/>
    </row>
    <row r="1157" spans="14:15" ht="30.95" customHeight="1">
      <c r="N1157" s="552"/>
      <c r="O1157" s="552"/>
    </row>
    <row r="1158" spans="14:15" ht="30.95" customHeight="1">
      <c r="N1158" s="552"/>
      <c r="O1158" s="552"/>
    </row>
    <row r="1159" spans="14:15" ht="30.95" customHeight="1">
      <c r="N1159" s="552"/>
      <c r="O1159" s="552"/>
    </row>
    <row r="1160" spans="14:15" ht="30.95" customHeight="1">
      <c r="N1160" s="552"/>
      <c r="O1160" s="552"/>
    </row>
    <row r="1161" spans="14:15" ht="30.95" customHeight="1">
      <c r="N1161" s="552"/>
      <c r="O1161" s="552"/>
    </row>
    <row r="1162" spans="14:15" ht="30.95" customHeight="1">
      <c r="N1162" s="552"/>
      <c r="O1162" s="552"/>
    </row>
    <row r="1163" spans="14:15" ht="30.95" customHeight="1">
      <c r="N1163" s="552"/>
      <c r="O1163" s="552"/>
    </row>
    <row r="1164" spans="14:15" ht="30.95" customHeight="1">
      <c r="N1164" s="552"/>
      <c r="O1164" s="552"/>
    </row>
    <row r="1165" spans="14:15" ht="30.95" customHeight="1">
      <c r="N1165" s="552"/>
      <c r="O1165" s="552"/>
    </row>
    <row r="1166" spans="14:15" ht="30.95" customHeight="1">
      <c r="N1166" s="552"/>
      <c r="O1166" s="552"/>
    </row>
    <row r="1167" spans="14:15" ht="30.95" customHeight="1">
      <c r="N1167" s="552"/>
      <c r="O1167" s="552"/>
    </row>
    <row r="1168" spans="14:15" ht="30.95" customHeight="1">
      <c r="N1168" s="552"/>
      <c r="O1168" s="552"/>
    </row>
    <row r="1169" spans="14:15" ht="30.95" customHeight="1">
      <c r="N1169" s="552"/>
      <c r="O1169" s="552"/>
    </row>
    <row r="1170" spans="14:15" ht="30.95" customHeight="1">
      <c r="N1170" s="552"/>
      <c r="O1170" s="552"/>
    </row>
    <row r="1171" spans="14:15" ht="30.95" customHeight="1">
      <c r="N1171" s="552"/>
      <c r="O1171" s="552"/>
    </row>
    <row r="1172" spans="14:15" ht="30.95" customHeight="1">
      <c r="N1172" s="552"/>
      <c r="O1172" s="552"/>
    </row>
    <row r="1173" spans="14:15" ht="30.95" customHeight="1">
      <c r="N1173" s="552"/>
      <c r="O1173" s="552"/>
    </row>
    <row r="1174" spans="14:15" ht="30.95" customHeight="1">
      <c r="N1174" s="552"/>
      <c r="O1174" s="552"/>
    </row>
    <row r="1175" spans="14:15" ht="30.95" customHeight="1">
      <c r="N1175" s="552"/>
      <c r="O1175" s="552"/>
    </row>
    <row r="1176" spans="14:15" ht="30.95" customHeight="1">
      <c r="N1176" s="552"/>
      <c r="O1176" s="552"/>
    </row>
    <row r="1177" spans="14:15" ht="30.95" customHeight="1">
      <c r="N1177" s="552"/>
      <c r="O1177" s="552"/>
    </row>
    <row r="1178" spans="14:15" ht="30.95" customHeight="1">
      <c r="N1178" s="552"/>
      <c r="O1178" s="552"/>
    </row>
    <row r="1179" spans="14:15" ht="30.95" customHeight="1">
      <c r="N1179" s="552"/>
      <c r="O1179" s="552"/>
    </row>
    <row r="1180" spans="14:15" ht="30.95" customHeight="1">
      <c r="N1180" s="552"/>
      <c r="O1180" s="552"/>
    </row>
    <row r="1181" spans="14:15" ht="30.95" customHeight="1">
      <c r="N1181" s="552"/>
      <c r="O1181" s="552"/>
    </row>
    <row r="1182" spans="14:15" ht="30.95" customHeight="1">
      <c r="N1182" s="552"/>
      <c r="O1182" s="552"/>
    </row>
    <row r="1183" spans="14:15" ht="30.95" customHeight="1">
      <c r="N1183" s="552"/>
      <c r="O1183" s="552"/>
    </row>
    <row r="1184" spans="14:15" ht="30.95" customHeight="1">
      <c r="N1184" s="552"/>
      <c r="O1184" s="552"/>
    </row>
    <row r="1185" spans="14:15" ht="30.95" customHeight="1">
      <c r="N1185" s="552"/>
      <c r="O1185" s="552"/>
    </row>
    <row r="1186" spans="14:15" ht="30.95" customHeight="1">
      <c r="N1186" s="552"/>
      <c r="O1186" s="552"/>
    </row>
    <row r="1187" spans="14:15" ht="30.95" customHeight="1">
      <c r="N1187" s="552"/>
      <c r="O1187" s="552"/>
    </row>
    <row r="1188" spans="14:15" ht="30.95" customHeight="1">
      <c r="N1188" s="552"/>
      <c r="O1188" s="552"/>
    </row>
    <row r="1189" spans="14:15" ht="30.95" customHeight="1">
      <c r="N1189" s="552"/>
      <c r="O1189" s="552"/>
    </row>
    <row r="1190" spans="14:15" ht="30.95" customHeight="1">
      <c r="N1190" s="552"/>
      <c r="O1190" s="552"/>
    </row>
    <row r="1191" spans="14:15" ht="30.95" customHeight="1">
      <c r="N1191" s="552"/>
      <c r="O1191" s="552"/>
    </row>
    <row r="1192" spans="14:15" ht="30.95" customHeight="1">
      <c r="N1192" s="552"/>
      <c r="O1192" s="552"/>
    </row>
    <row r="1193" spans="14:15" ht="30.95" customHeight="1">
      <c r="N1193" s="552"/>
      <c r="O1193" s="552"/>
    </row>
    <row r="1194" spans="14:15" ht="30.95" customHeight="1">
      <c r="N1194" s="552"/>
      <c r="O1194" s="552"/>
    </row>
    <row r="1195" spans="14:15" ht="30.95" customHeight="1">
      <c r="N1195" s="552"/>
      <c r="O1195" s="552"/>
    </row>
    <row r="1196" spans="14:15" ht="30.95" customHeight="1">
      <c r="N1196" s="552"/>
      <c r="O1196" s="552"/>
    </row>
    <row r="1197" spans="14:15" ht="30.95" customHeight="1">
      <c r="N1197" s="552"/>
      <c r="O1197" s="552"/>
    </row>
    <row r="1198" spans="14:15" ht="30.95" customHeight="1">
      <c r="N1198" s="552"/>
      <c r="O1198" s="552"/>
    </row>
    <row r="1199" spans="14:15" ht="30.95" customHeight="1">
      <c r="N1199" s="552"/>
      <c r="O1199" s="552"/>
    </row>
    <row r="1200" spans="14:15" ht="30.95" customHeight="1">
      <c r="N1200" s="552"/>
      <c r="O1200" s="552"/>
    </row>
    <row r="1201" spans="14:15" ht="30.95" customHeight="1">
      <c r="N1201" s="552"/>
      <c r="O1201" s="552"/>
    </row>
    <row r="1202" spans="14:15" ht="30.95" customHeight="1">
      <c r="N1202" s="552"/>
      <c r="O1202" s="552"/>
    </row>
    <row r="1203" spans="14:15" ht="30.95" customHeight="1">
      <c r="N1203" s="552"/>
      <c r="O1203" s="552"/>
    </row>
    <row r="1204" spans="14:15" ht="30.95" customHeight="1">
      <c r="N1204" s="552"/>
      <c r="O1204" s="552"/>
    </row>
    <row r="1205" spans="14:15" ht="30.95" customHeight="1">
      <c r="N1205" s="552"/>
      <c r="O1205" s="552"/>
    </row>
    <row r="1206" spans="14:15" ht="30.95" customHeight="1">
      <c r="N1206" s="552"/>
      <c r="O1206" s="552"/>
    </row>
    <row r="1207" spans="14:15" ht="30.95" customHeight="1">
      <c r="N1207" s="552"/>
      <c r="O1207" s="552"/>
    </row>
    <row r="1208" spans="14:15" ht="30.95" customHeight="1">
      <c r="N1208" s="552"/>
      <c r="O1208" s="552"/>
    </row>
    <row r="1209" spans="14:15" ht="30.95" customHeight="1">
      <c r="N1209" s="552"/>
      <c r="O1209" s="552"/>
    </row>
    <row r="1210" spans="14:15" ht="30.95" customHeight="1">
      <c r="N1210" s="552"/>
      <c r="O1210" s="552"/>
    </row>
    <row r="1211" spans="14:15" ht="30.95" customHeight="1">
      <c r="N1211" s="552"/>
      <c r="O1211" s="552"/>
    </row>
    <row r="1212" spans="14:15" ht="30.95" customHeight="1">
      <c r="N1212" s="552"/>
      <c r="O1212" s="552"/>
    </row>
    <row r="1213" spans="14:15" ht="30.95" customHeight="1">
      <c r="N1213" s="552"/>
      <c r="O1213" s="552"/>
    </row>
    <row r="1214" spans="14:15" ht="30.95" customHeight="1">
      <c r="N1214" s="552"/>
      <c r="O1214" s="552"/>
    </row>
    <row r="1215" spans="14:15" ht="30.95" customHeight="1">
      <c r="N1215" s="552"/>
      <c r="O1215" s="552"/>
    </row>
    <row r="1216" spans="14:15" ht="30.95" customHeight="1">
      <c r="N1216" s="552"/>
      <c r="O1216" s="552"/>
    </row>
    <row r="1217" spans="14:15" ht="30.95" customHeight="1">
      <c r="N1217" s="552"/>
      <c r="O1217" s="552"/>
    </row>
    <row r="1218" spans="14:15" ht="30.95" customHeight="1">
      <c r="N1218" s="552"/>
      <c r="O1218" s="552"/>
    </row>
    <row r="1219" spans="14:15" ht="30.95" customHeight="1">
      <c r="N1219" s="552"/>
      <c r="O1219" s="552"/>
    </row>
    <row r="1220" spans="14:15" ht="30.95" customHeight="1">
      <c r="N1220" s="552"/>
      <c r="O1220" s="552"/>
    </row>
    <row r="1221" spans="14:15" ht="30.95" customHeight="1">
      <c r="N1221" s="552"/>
      <c r="O1221" s="552"/>
    </row>
    <row r="1222" spans="14:15" ht="30.95" customHeight="1">
      <c r="N1222" s="552"/>
      <c r="O1222" s="552"/>
    </row>
    <row r="1223" spans="14:15" ht="30.95" customHeight="1">
      <c r="N1223" s="552"/>
      <c r="O1223" s="552"/>
    </row>
    <row r="1224" spans="14:15" ht="30.95" customHeight="1">
      <c r="N1224" s="552"/>
      <c r="O1224" s="552"/>
    </row>
    <row r="1225" spans="14:15" ht="30.95" customHeight="1">
      <c r="N1225" s="552"/>
      <c r="O1225" s="552"/>
    </row>
    <row r="1226" spans="14:15" ht="30.95" customHeight="1">
      <c r="N1226" s="552"/>
      <c r="O1226" s="552"/>
    </row>
    <row r="1227" spans="14:15" ht="30.95" customHeight="1">
      <c r="N1227" s="552"/>
      <c r="O1227" s="552"/>
    </row>
    <row r="1228" spans="14:15" ht="30.95" customHeight="1">
      <c r="N1228" s="552"/>
      <c r="O1228" s="552"/>
    </row>
    <row r="1229" spans="14:15" ht="30.95" customHeight="1">
      <c r="N1229" s="552"/>
      <c r="O1229" s="552"/>
    </row>
    <row r="1230" spans="14:15" ht="30.95" customHeight="1">
      <c r="N1230" s="552"/>
      <c r="O1230" s="552"/>
    </row>
    <row r="1231" spans="14:15" ht="30.95" customHeight="1">
      <c r="N1231" s="552"/>
      <c r="O1231" s="552"/>
    </row>
    <row r="1232" spans="14:15" ht="30.95" customHeight="1">
      <c r="N1232" s="552"/>
      <c r="O1232" s="552"/>
    </row>
    <row r="1233" spans="14:15" ht="30.95" customHeight="1">
      <c r="N1233" s="552"/>
      <c r="O1233" s="552"/>
    </row>
    <row r="1234" spans="14:15" ht="30.95" customHeight="1">
      <c r="N1234" s="552"/>
      <c r="O1234" s="552"/>
    </row>
    <row r="1235" spans="14:15" ht="30.95" customHeight="1">
      <c r="N1235" s="552"/>
      <c r="O1235" s="552"/>
    </row>
    <row r="1236" spans="14:15" ht="30.95" customHeight="1">
      <c r="N1236" s="552"/>
      <c r="O1236" s="552"/>
    </row>
    <row r="1237" spans="14:15" ht="30.95" customHeight="1">
      <c r="N1237" s="552"/>
      <c r="O1237" s="552"/>
    </row>
    <row r="1238" spans="14:15" ht="30.95" customHeight="1">
      <c r="N1238" s="552"/>
      <c r="O1238" s="552"/>
    </row>
    <row r="1239" spans="14:15" ht="30.95" customHeight="1">
      <c r="N1239" s="552"/>
      <c r="O1239" s="552"/>
    </row>
    <row r="1240" spans="14:15" ht="30.95" customHeight="1">
      <c r="N1240" s="552"/>
      <c r="O1240" s="552"/>
    </row>
    <row r="1241" spans="14:15" ht="30.95" customHeight="1">
      <c r="N1241" s="552"/>
      <c r="O1241" s="552"/>
    </row>
    <row r="1242" spans="14:15" ht="30.95" customHeight="1">
      <c r="N1242" s="552"/>
      <c r="O1242" s="552"/>
    </row>
    <row r="1243" spans="14:15" ht="30.95" customHeight="1">
      <c r="N1243" s="552"/>
      <c r="O1243" s="552"/>
    </row>
    <row r="1244" spans="14:15" ht="30.95" customHeight="1">
      <c r="N1244" s="552"/>
      <c r="O1244" s="552"/>
    </row>
    <row r="1245" spans="14:15" ht="30.95" customHeight="1">
      <c r="N1245" s="552"/>
      <c r="O1245" s="552"/>
    </row>
    <row r="1246" spans="14:15" ht="30.95" customHeight="1">
      <c r="N1246" s="552"/>
      <c r="O1246" s="552"/>
    </row>
    <row r="1247" spans="14:15" ht="30.95" customHeight="1">
      <c r="N1247" s="552"/>
      <c r="O1247" s="552"/>
    </row>
    <row r="1248" spans="14:15" ht="30.95" customHeight="1">
      <c r="N1248" s="552"/>
      <c r="O1248" s="552"/>
    </row>
    <row r="1249" spans="14:15" ht="30.95" customHeight="1">
      <c r="N1249" s="552"/>
      <c r="O1249" s="552"/>
    </row>
    <row r="1250" spans="14:15" ht="30.95" customHeight="1">
      <c r="N1250" s="552"/>
      <c r="O1250" s="552"/>
    </row>
    <row r="1251" spans="14:15" ht="30.95" customHeight="1">
      <c r="N1251" s="552"/>
      <c r="O1251" s="552"/>
    </row>
    <row r="1252" spans="14:15" ht="30.95" customHeight="1">
      <c r="N1252" s="552"/>
      <c r="O1252" s="552"/>
    </row>
    <row r="1253" spans="14:15" ht="30.95" customHeight="1">
      <c r="N1253" s="552"/>
      <c r="O1253" s="552"/>
    </row>
    <row r="1254" spans="14:15" ht="30.95" customHeight="1">
      <c r="N1254" s="552"/>
      <c r="O1254" s="552"/>
    </row>
    <row r="1255" spans="14:15" ht="30.95" customHeight="1">
      <c r="N1255" s="552"/>
      <c r="O1255" s="552"/>
    </row>
    <row r="1256" spans="14:15" ht="30.95" customHeight="1">
      <c r="N1256" s="552"/>
      <c r="O1256" s="552"/>
    </row>
    <row r="1257" spans="14:15" ht="30.95" customHeight="1">
      <c r="N1257" s="552"/>
      <c r="O1257" s="552"/>
    </row>
    <row r="1258" spans="14:15" ht="30.95" customHeight="1">
      <c r="N1258" s="552"/>
      <c r="O1258" s="552"/>
    </row>
    <row r="1259" spans="14:15" ht="30.95" customHeight="1">
      <c r="N1259" s="552"/>
      <c r="O1259" s="552"/>
    </row>
    <row r="1260" spans="14:15" ht="30.95" customHeight="1">
      <c r="N1260" s="552"/>
      <c r="O1260" s="552"/>
    </row>
    <row r="1261" spans="14:15" ht="30.95" customHeight="1">
      <c r="N1261" s="552"/>
      <c r="O1261" s="552"/>
    </row>
    <row r="1262" spans="14:15" ht="30.95" customHeight="1">
      <c r="N1262" s="552"/>
      <c r="O1262" s="552"/>
    </row>
    <row r="1263" spans="14:15" ht="30.95" customHeight="1">
      <c r="N1263" s="552"/>
      <c r="O1263" s="552"/>
    </row>
    <row r="1264" spans="14:15" ht="30.95" customHeight="1">
      <c r="N1264" s="552"/>
      <c r="O1264" s="552"/>
    </row>
    <row r="1265" spans="14:15" ht="30.95" customHeight="1">
      <c r="N1265" s="552"/>
      <c r="O1265" s="552"/>
    </row>
    <row r="1266" spans="14:15" ht="30.95" customHeight="1">
      <c r="N1266" s="552"/>
      <c r="O1266" s="552"/>
    </row>
    <row r="1267" spans="14:15" ht="30.95" customHeight="1">
      <c r="N1267" s="552"/>
      <c r="O1267" s="552"/>
    </row>
    <row r="1268" spans="14:15" ht="30.95" customHeight="1">
      <c r="N1268" s="552"/>
      <c r="O1268" s="552"/>
    </row>
    <row r="1269" spans="14:15" ht="30.95" customHeight="1">
      <c r="N1269" s="552"/>
      <c r="O1269" s="552"/>
    </row>
    <row r="1270" spans="14:15" ht="30.95" customHeight="1">
      <c r="N1270" s="552"/>
      <c r="O1270" s="552"/>
    </row>
    <row r="1271" spans="14:15" ht="30.95" customHeight="1">
      <c r="N1271" s="552"/>
      <c r="O1271" s="552"/>
    </row>
    <row r="1272" spans="14:15" ht="30.95" customHeight="1">
      <c r="N1272" s="552"/>
      <c r="O1272" s="552"/>
    </row>
    <row r="1273" spans="14:15" ht="30.95" customHeight="1">
      <c r="N1273" s="552"/>
      <c r="O1273" s="552"/>
    </row>
    <row r="1274" spans="14:15" ht="30.95" customHeight="1">
      <c r="N1274" s="552"/>
      <c r="O1274" s="552"/>
    </row>
    <row r="1275" spans="14:15" ht="30.95" customHeight="1">
      <c r="N1275" s="552"/>
      <c r="O1275" s="552"/>
    </row>
    <row r="1276" spans="14:15" ht="30.95" customHeight="1">
      <c r="N1276" s="552"/>
      <c r="O1276" s="552"/>
    </row>
    <row r="1277" spans="14:15" ht="30.95" customHeight="1">
      <c r="N1277" s="552"/>
      <c r="O1277" s="552"/>
    </row>
    <row r="1278" spans="14:15" ht="30.95" customHeight="1">
      <c r="N1278" s="552"/>
      <c r="O1278" s="552"/>
    </row>
    <row r="1279" spans="14:15" ht="30.95" customHeight="1">
      <c r="N1279" s="552"/>
      <c r="O1279" s="552"/>
    </row>
    <row r="1280" spans="14:15" ht="30.95" customHeight="1">
      <c r="N1280" s="552"/>
      <c r="O1280" s="552"/>
    </row>
    <row r="1281" spans="14:15" ht="30.95" customHeight="1">
      <c r="N1281" s="552"/>
      <c r="O1281" s="552"/>
    </row>
    <row r="1282" spans="14:15" ht="30.95" customHeight="1">
      <c r="N1282" s="552"/>
      <c r="O1282" s="552"/>
    </row>
    <row r="1283" spans="14:15" ht="30.95" customHeight="1">
      <c r="N1283" s="552"/>
      <c r="O1283" s="552"/>
    </row>
    <row r="1284" spans="14:15" ht="30.95" customHeight="1">
      <c r="N1284" s="552"/>
      <c r="O1284" s="552"/>
    </row>
    <row r="1285" spans="14:15" ht="30.95" customHeight="1">
      <c r="N1285" s="552"/>
      <c r="O1285" s="552"/>
    </row>
    <row r="1286" spans="14:15" ht="30.95" customHeight="1">
      <c r="N1286" s="552"/>
      <c r="O1286" s="552"/>
    </row>
    <row r="1287" spans="14:15" ht="30.95" customHeight="1">
      <c r="N1287" s="552"/>
      <c r="O1287" s="552"/>
    </row>
    <row r="1288" spans="14:15" ht="30.95" customHeight="1">
      <c r="N1288" s="552"/>
      <c r="O1288" s="552"/>
    </row>
    <row r="1289" spans="14:15" ht="30.95" customHeight="1">
      <c r="N1289" s="552"/>
      <c r="O1289" s="552"/>
    </row>
    <row r="1290" spans="14:15" ht="30.95" customHeight="1">
      <c r="N1290" s="552"/>
      <c r="O1290" s="552"/>
    </row>
    <row r="1291" spans="14:15" ht="30.95" customHeight="1">
      <c r="N1291" s="552"/>
      <c r="O1291" s="552"/>
    </row>
    <row r="1292" spans="14:15" ht="30.95" customHeight="1">
      <c r="N1292" s="552"/>
      <c r="O1292" s="552"/>
    </row>
    <row r="1293" spans="14:15" ht="30.95" customHeight="1">
      <c r="N1293" s="552"/>
      <c r="O1293" s="552"/>
    </row>
    <row r="1294" spans="14:15" ht="30.95" customHeight="1">
      <c r="N1294" s="552"/>
      <c r="O1294" s="552"/>
    </row>
    <row r="1295" spans="14:15" ht="30.95" customHeight="1">
      <c r="N1295" s="552"/>
      <c r="O1295" s="552"/>
    </row>
    <row r="1296" spans="14:15" ht="30.95" customHeight="1">
      <c r="N1296" s="552"/>
      <c r="O1296" s="552"/>
    </row>
    <row r="1297" spans="14:15" ht="30.95" customHeight="1">
      <c r="N1297" s="552"/>
      <c r="O1297" s="552"/>
    </row>
    <row r="1298" spans="14:15" ht="30.95" customHeight="1">
      <c r="N1298" s="552"/>
      <c r="O1298" s="552"/>
    </row>
    <row r="1299" spans="14:15" ht="30.95" customHeight="1">
      <c r="N1299" s="552"/>
      <c r="O1299" s="552"/>
    </row>
    <row r="1300" spans="14:15" ht="30.95" customHeight="1">
      <c r="N1300" s="552"/>
      <c r="O1300" s="552"/>
    </row>
    <row r="1301" spans="14:15" ht="30.95" customHeight="1">
      <c r="N1301" s="552"/>
      <c r="O1301" s="552"/>
    </row>
    <row r="1302" spans="14:15" ht="30.95" customHeight="1">
      <c r="N1302" s="552"/>
      <c r="O1302" s="552"/>
    </row>
    <row r="1303" spans="14:15" ht="30.95" customHeight="1">
      <c r="N1303" s="552"/>
      <c r="O1303" s="552"/>
    </row>
    <row r="1304" spans="14:15" ht="30.95" customHeight="1">
      <c r="N1304" s="552"/>
      <c r="O1304" s="552"/>
    </row>
    <row r="1305" spans="14:15" ht="30.95" customHeight="1">
      <c r="N1305" s="552"/>
      <c r="O1305" s="552"/>
    </row>
    <row r="1306" spans="14:15" ht="30.95" customHeight="1">
      <c r="N1306" s="552"/>
      <c r="O1306" s="552"/>
    </row>
    <row r="1307" spans="14:15" ht="30.95" customHeight="1">
      <c r="N1307" s="552"/>
      <c r="O1307" s="552"/>
    </row>
    <row r="1308" spans="14:15" ht="30.95" customHeight="1">
      <c r="N1308" s="552"/>
      <c r="O1308" s="552"/>
    </row>
    <row r="1309" spans="14:15" ht="30.95" customHeight="1">
      <c r="N1309" s="552"/>
      <c r="O1309" s="552"/>
    </row>
    <row r="1310" spans="14:15" ht="30.95" customHeight="1">
      <c r="N1310" s="552"/>
      <c r="O1310" s="552"/>
    </row>
    <row r="1311" spans="14:15" ht="30.95" customHeight="1">
      <c r="N1311" s="552"/>
      <c r="O1311" s="552"/>
    </row>
    <row r="1312" spans="14:15" ht="30.95" customHeight="1">
      <c r="N1312" s="552"/>
      <c r="O1312" s="552"/>
    </row>
    <row r="1313" spans="14:15" ht="30.95" customHeight="1">
      <c r="N1313" s="552"/>
      <c r="O1313" s="552"/>
    </row>
    <row r="1314" spans="14:15" ht="30.95" customHeight="1">
      <c r="N1314" s="552"/>
      <c r="O1314" s="552"/>
    </row>
    <row r="1315" spans="14:15" ht="30.95" customHeight="1">
      <c r="N1315" s="552"/>
      <c r="O1315" s="552"/>
    </row>
    <row r="1316" spans="14:15" ht="30.95" customHeight="1">
      <c r="N1316" s="552"/>
      <c r="O1316" s="552"/>
    </row>
    <row r="1317" spans="14:15" ht="30.95" customHeight="1">
      <c r="N1317" s="552"/>
      <c r="O1317" s="552"/>
    </row>
    <row r="1318" spans="14:15" ht="30.95" customHeight="1">
      <c r="N1318" s="552"/>
      <c r="O1318" s="552"/>
    </row>
    <row r="1319" spans="14:15" ht="30.95" customHeight="1">
      <c r="N1319" s="552"/>
      <c r="O1319" s="552"/>
    </row>
    <row r="1320" spans="14:15" ht="30.95" customHeight="1">
      <c r="N1320" s="552"/>
      <c r="O1320" s="552"/>
    </row>
    <row r="1321" spans="14:15" ht="30.95" customHeight="1">
      <c r="N1321" s="552"/>
      <c r="O1321" s="552"/>
    </row>
    <row r="1322" spans="14:15" ht="30.95" customHeight="1">
      <c r="N1322" s="552"/>
      <c r="O1322" s="552"/>
    </row>
    <row r="1323" spans="14:15" ht="30.95" customHeight="1">
      <c r="N1323" s="552"/>
      <c r="O1323" s="552"/>
    </row>
    <row r="1324" spans="14:15" ht="30.95" customHeight="1">
      <c r="N1324" s="552"/>
      <c r="O1324" s="552"/>
    </row>
    <row r="1325" spans="14:15" ht="30.95" customHeight="1">
      <c r="N1325" s="552"/>
      <c r="O1325" s="552"/>
    </row>
    <row r="1326" spans="14:15" ht="30.95" customHeight="1">
      <c r="N1326" s="552"/>
      <c r="O1326" s="552"/>
    </row>
    <row r="1327" spans="14:15" ht="30.95" customHeight="1">
      <c r="N1327" s="552"/>
      <c r="O1327" s="552"/>
    </row>
    <row r="1328" spans="14:15" ht="30.95" customHeight="1">
      <c r="N1328" s="552"/>
      <c r="O1328" s="552"/>
    </row>
    <row r="1329" spans="14:15" ht="30.95" customHeight="1">
      <c r="N1329" s="552"/>
      <c r="O1329" s="552"/>
    </row>
    <row r="1330" spans="14:15" ht="30.95" customHeight="1">
      <c r="N1330" s="552"/>
      <c r="O1330" s="552"/>
    </row>
    <row r="1331" spans="14:15" ht="30.95" customHeight="1">
      <c r="N1331" s="552"/>
      <c r="O1331" s="552"/>
    </row>
    <row r="1332" spans="14:15" ht="30.95" customHeight="1">
      <c r="N1332" s="552"/>
      <c r="O1332" s="552"/>
    </row>
    <row r="1333" spans="14:15" ht="30.95" customHeight="1">
      <c r="N1333" s="552"/>
      <c r="O1333" s="552"/>
    </row>
    <row r="1334" spans="14:15" ht="30.95" customHeight="1">
      <c r="N1334" s="552"/>
      <c r="O1334" s="552"/>
    </row>
    <row r="1335" spans="14:15" ht="30.95" customHeight="1">
      <c r="N1335" s="552"/>
      <c r="O1335" s="552"/>
    </row>
    <row r="1336" spans="14:15" ht="30.95" customHeight="1">
      <c r="N1336" s="552"/>
      <c r="O1336" s="552"/>
    </row>
    <row r="1337" spans="14:15" ht="30.95" customHeight="1">
      <c r="N1337" s="552"/>
      <c r="O1337" s="552"/>
    </row>
    <row r="1338" spans="14:15" ht="30.95" customHeight="1">
      <c r="N1338" s="552"/>
      <c r="O1338" s="552"/>
    </row>
    <row r="1339" spans="14:15" ht="30.95" customHeight="1">
      <c r="N1339" s="552"/>
      <c r="O1339" s="552"/>
    </row>
    <row r="1340" spans="14:15" ht="30.95" customHeight="1">
      <c r="N1340" s="552"/>
      <c r="O1340" s="552"/>
    </row>
    <row r="1341" spans="14:15" ht="30.95" customHeight="1">
      <c r="N1341" s="552"/>
      <c r="O1341" s="552"/>
    </row>
    <row r="1342" spans="14:15" ht="30.95" customHeight="1">
      <c r="N1342" s="552"/>
      <c r="O1342" s="552"/>
    </row>
    <row r="1343" spans="14:15" ht="30.95" customHeight="1">
      <c r="N1343" s="552"/>
      <c r="O1343" s="552"/>
    </row>
    <row r="1344" spans="14:15" ht="30.95" customHeight="1">
      <c r="N1344" s="552"/>
      <c r="O1344" s="552"/>
    </row>
    <row r="1345" spans="14:15" ht="30.95" customHeight="1">
      <c r="N1345" s="552"/>
      <c r="O1345" s="552"/>
    </row>
    <row r="1346" spans="14:15" ht="30.95" customHeight="1">
      <c r="N1346" s="552"/>
      <c r="O1346" s="552"/>
    </row>
    <row r="1347" spans="14:15" ht="30.95" customHeight="1">
      <c r="N1347" s="552"/>
      <c r="O1347" s="552"/>
    </row>
    <row r="1348" spans="14:15" ht="30.95" customHeight="1">
      <c r="N1348" s="552"/>
      <c r="O1348" s="552"/>
    </row>
    <row r="1349" spans="14:15" ht="30.95" customHeight="1">
      <c r="N1349" s="552"/>
      <c r="O1349" s="552"/>
    </row>
    <row r="1350" spans="14:15" ht="30.95" customHeight="1">
      <c r="N1350" s="552"/>
      <c r="O1350" s="552"/>
    </row>
    <row r="1351" spans="14:15" ht="30.95" customHeight="1">
      <c r="N1351" s="552"/>
      <c r="O1351" s="552"/>
    </row>
    <row r="1352" spans="14:15" ht="30.95" customHeight="1">
      <c r="N1352" s="552"/>
      <c r="O1352" s="552"/>
    </row>
    <row r="1353" spans="14:15" ht="30.95" customHeight="1">
      <c r="N1353" s="552"/>
      <c r="O1353" s="552"/>
    </row>
    <row r="1354" spans="14:15" ht="30.95" customHeight="1">
      <c r="N1354" s="552"/>
      <c r="O1354" s="552"/>
    </row>
    <row r="1355" spans="14:15" ht="30.95" customHeight="1">
      <c r="N1355" s="552"/>
      <c r="O1355" s="552"/>
    </row>
    <row r="1356" spans="14:15" ht="30.95" customHeight="1">
      <c r="N1356" s="552"/>
      <c r="O1356" s="552"/>
    </row>
    <row r="1357" spans="14:15" ht="30.95" customHeight="1">
      <c r="N1357" s="552"/>
      <c r="O1357" s="552"/>
    </row>
    <row r="1358" spans="14:15" ht="30.95" customHeight="1">
      <c r="N1358" s="552"/>
      <c r="O1358" s="552"/>
    </row>
    <row r="1359" spans="14:15" ht="30.95" customHeight="1">
      <c r="N1359" s="552"/>
      <c r="O1359" s="552"/>
    </row>
    <row r="1360" spans="14:15" ht="30.95" customHeight="1">
      <c r="N1360" s="552"/>
      <c r="O1360" s="552"/>
    </row>
    <row r="1361" spans="14:15" ht="30.95" customHeight="1">
      <c r="N1361" s="552"/>
      <c r="O1361" s="552"/>
    </row>
    <row r="1362" spans="14:15" ht="30.95" customHeight="1">
      <c r="N1362" s="552"/>
      <c r="O1362" s="552"/>
    </row>
    <row r="1363" spans="14:15" ht="30.95" customHeight="1">
      <c r="N1363" s="552"/>
      <c r="O1363" s="552"/>
    </row>
    <row r="1364" spans="14:15" ht="30.95" customHeight="1">
      <c r="N1364" s="552"/>
      <c r="O1364" s="552"/>
    </row>
    <row r="1365" spans="14:15" ht="30.95" customHeight="1">
      <c r="N1365" s="552"/>
      <c r="O1365" s="552"/>
    </row>
    <row r="1366" spans="14:15" ht="30.95" customHeight="1">
      <c r="N1366" s="552"/>
      <c r="O1366" s="552"/>
    </row>
    <row r="1367" spans="14:15" ht="30.95" customHeight="1">
      <c r="N1367" s="552"/>
      <c r="O1367" s="552"/>
    </row>
    <row r="1368" spans="14:15" ht="30.95" customHeight="1">
      <c r="N1368" s="552"/>
      <c r="O1368" s="552"/>
    </row>
    <row r="1369" spans="14:15" ht="30.95" customHeight="1">
      <c r="N1369" s="552"/>
      <c r="O1369" s="552"/>
    </row>
    <row r="1370" spans="14:15" ht="30.95" customHeight="1">
      <c r="N1370" s="552"/>
      <c r="O1370" s="552"/>
    </row>
    <row r="1371" spans="14:15" ht="30.95" customHeight="1">
      <c r="N1371" s="552"/>
      <c r="O1371" s="552"/>
    </row>
    <row r="1372" spans="14:15" ht="30.95" customHeight="1">
      <c r="N1372" s="552"/>
      <c r="O1372" s="552"/>
    </row>
    <row r="1373" spans="14:15" ht="30.95" customHeight="1">
      <c r="N1373" s="552"/>
      <c r="O1373" s="552"/>
    </row>
    <row r="1374" spans="14:15" ht="30.95" customHeight="1">
      <c r="N1374" s="552"/>
      <c r="O1374" s="552"/>
    </row>
    <row r="1375" spans="14:15" ht="30.95" customHeight="1">
      <c r="N1375" s="552"/>
      <c r="O1375" s="552"/>
    </row>
    <row r="1376" spans="14:15" ht="30.95" customHeight="1">
      <c r="N1376" s="552"/>
      <c r="O1376" s="552"/>
    </row>
    <row r="1377" spans="14:15" ht="30.95" customHeight="1">
      <c r="N1377" s="552"/>
      <c r="O1377" s="552"/>
    </row>
    <row r="1378" spans="14:15" ht="30.95" customHeight="1">
      <c r="N1378" s="552"/>
      <c r="O1378" s="552"/>
    </row>
    <row r="1379" spans="14:15" ht="30.95" customHeight="1">
      <c r="N1379" s="552"/>
      <c r="O1379" s="552"/>
    </row>
    <row r="1380" spans="14:15" ht="30.95" customHeight="1">
      <c r="N1380" s="552"/>
      <c r="O1380" s="552"/>
    </row>
    <row r="1381" spans="14:15" ht="30.95" customHeight="1">
      <c r="N1381" s="552"/>
      <c r="O1381" s="552"/>
    </row>
    <row r="1382" spans="14:15" ht="30.95" customHeight="1">
      <c r="N1382" s="552"/>
      <c r="O1382" s="552"/>
    </row>
    <row r="1383" spans="14:15" ht="30.95" customHeight="1">
      <c r="N1383" s="552"/>
      <c r="O1383" s="552"/>
    </row>
    <row r="1384" spans="14:15" ht="30.95" customHeight="1">
      <c r="N1384" s="552"/>
      <c r="O1384" s="552"/>
    </row>
    <row r="1385" spans="14:15" ht="30.95" customHeight="1">
      <c r="N1385" s="552"/>
      <c r="O1385" s="552"/>
    </row>
    <row r="1386" spans="14:15" ht="30.95" customHeight="1">
      <c r="N1386" s="552"/>
      <c r="O1386" s="552"/>
    </row>
    <row r="1387" spans="14:15" ht="30.95" customHeight="1">
      <c r="N1387" s="552"/>
      <c r="O1387" s="552"/>
    </row>
    <row r="1388" spans="14:15" ht="30.95" customHeight="1">
      <c r="N1388" s="552"/>
      <c r="O1388" s="552"/>
    </row>
    <row r="1389" spans="14:15" ht="30.95" customHeight="1">
      <c r="N1389" s="552"/>
      <c r="O1389" s="552"/>
    </row>
    <row r="1390" spans="14:15" ht="30.95" customHeight="1">
      <c r="N1390" s="552"/>
      <c r="O1390" s="552"/>
    </row>
    <row r="1391" spans="14:15" ht="30.95" customHeight="1">
      <c r="N1391" s="552"/>
      <c r="O1391" s="552"/>
    </row>
    <row r="1392" spans="14:15" ht="30.95" customHeight="1">
      <c r="N1392" s="552"/>
      <c r="O1392" s="552"/>
    </row>
    <row r="1393" spans="14:15" ht="30.95" customHeight="1">
      <c r="N1393" s="552"/>
      <c r="O1393" s="552"/>
    </row>
    <row r="1394" spans="14:15" ht="30.95" customHeight="1">
      <c r="N1394" s="552"/>
      <c r="O1394" s="552"/>
    </row>
    <row r="1395" spans="14:15" ht="30.95" customHeight="1">
      <c r="N1395" s="552"/>
      <c r="O1395" s="552"/>
    </row>
    <row r="1396" spans="14:15" ht="30.95" customHeight="1">
      <c r="N1396" s="552"/>
      <c r="O1396" s="552"/>
    </row>
    <row r="1397" spans="14:15" ht="30.95" customHeight="1">
      <c r="N1397" s="552"/>
      <c r="O1397" s="552"/>
    </row>
    <row r="1398" spans="14:15" ht="30.95" customHeight="1">
      <c r="N1398" s="552"/>
      <c r="O1398" s="552"/>
    </row>
    <row r="1399" spans="14:15" ht="30.95" customHeight="1">
      <c r="N1399" s="552"/>
      <c r="O1399" s="552"/>
    </row>
    <row r="1400" spans="14:15" ht="30.95" customHeight="1">
      <c r="N1400" s="552"/>
      <c r="O1400" s="552"/>
    </row>
    <row r="1401" spans="14:15" ht="30.95" customHeight="1">
      <c r="N1401" s="552"/>
      <c r="O1401" s="552"/>
    </row>
    <row r="1402" spans="14:15" ht="30.95" customHeight="1">
      <c r="N1402" s="552"/>
      <c r="O1402" s="552"/>
    </row>
    <row r="1403" spans="14:15" ht="30.95" customHeight="1">
      <c r="N1403" s="552"/>
      <c r="O1403" s="552"/>
    </row>
    <row r="1404" spans="14:15" ht="30.95" customHeight="1">
      <c r="N1404" s="552"/>
      <c r="O1404" s="552"/>
    </row>
    <row r="1405" spans="14:15" ht="30.95" customHeight="1">
      <c r="N1405" s="552"/>
      <c r="O1405" s="552"/>
    </row>
    <row r="1406" spans="14:15" ht="30.95" customHeight="1">
      <c r="N1406" s="552"/>
      <c r="O1406" s="552"/>
    </row>
    <row r="1407" spans="14:15" ht="30.95" customHeight="1">
      <c r="N1407" s="552"/>
      <c r="O1407" s="552"/>
    </row>
    <row r="1408" spans="14:15" ht="30.95" customHeight="1">
      <c r="N1408" s="552"/>
      <c r="O1408" s="552"/>
    </row>
    <row r="1409" spans="14:15" ht="30.95" customHeight="1">
      <c r="N1409" s="552"/>
      <c r="O1409" s="552"/>
    </row>
    <row r="1410" spans="14:15" ht="30.95" customHeight="1">
      <c r="N1410" s="552"/>
      <c r="O1410" s="552"/>
    </row>
    <row r="1411" spans="14:15" ht="30.95" customHeight="1">
      <c r="N1411" s="552"/>
      <c r="O1411" s="552"/>
    </row>
    <row r="1412" spans="14:15" ht="30.95" customHeight="1">
      <c r="N1412" s="552"/>
      <c r="O1412" s="552"/>
    </row>
    <row r="1413" spans="14:15" ht="30.95" customHeight="1">
      <c r="N1413" s="552"/>
      <c r="O1413" s="552"/>
    </row>
    <row r="1414" spans="14:15" ht="30.95" customHeight="1">
      <c r="N1414" s="552"/>
      <c r="O1414" s="552"/>
    </row>
    <row r="1415" spans="14:15" ht="30.95" customHeight="1">
      <c r="N1415" s="552"/>
      <c r="O1415" s="552"/>
    </row>
    <row r="1416" spans="14:15" ht="30.95" customHeight="1">
      <c r="N1416" s="552"/>
      <c r="O1416" s="552"/>
    </row>
    <row r="1417" spans="14:15" ht="30.95" customHeight="1">
      <c r="N1417" s="552"/>
      <c r="O1417" s="552"/>
    </row>
    <row r="1418" spans="14:15" ht="30.95" customHeight="1">
      <c r="N1418" s="552"/>
      <c r="O1418" s="552"/>
    </row>
    <row r="1419" spans="14:15" ht="30.95" customHeight="1">
      <c r="N1419" s="552"/>
      <c r="O1419" s="552"/>
    </row>
    <row r="1420" spans="14:15" ht="30.95" customHeight="1">
      <c r="N1420" s="552"/>
      <c r="O1420" s="552"/>
    </row>
    <row r="1421" spans="14:15" ht="30.95" customHeight="1">
      <c r="N1421" s="552"/>
      <c r="O1421" s="552"/>
    </row>
    <row r="1422" spans="14:15" ht="30.95" customHeight="1">
      <c r="N1422" s="552"/>
      <c r="O1422" s="552"/>
    </row>
    <row r="1423" spans="14:15" ht="30.95" customHeight="1">
      <c r="N1423" s="552"/>
      <c r="O1423" s="552"/>
    </row>
    <row r="1424" spans="14:15" ht="30.95" customHeight="1">
      <c r="N1424" s="552"/>
      <c r="O1424" s="552"/>
    </row>
    <row r="1425" spans="14:15" ht="30.95" customHeight="1">
      <c r="N1425" s="552"/>
      <c r="O1425" s="552"/>
    </row>
    <row r="1426" spans="14:15" ht="30.95" customHeight="1">
      <c r="N1426" s="552"/>
      <c r="O1426" s="552"/>
    </row>
    <row r="1427" spans="14:15" ht="30.95" customHeight="1">
      <c r="N1427" s="552"/>
      <c r="O1427" s="552"/>
    </row>
    <row r="1428" spans="14:15" ht="30.95" customHeight="1">
      <c r="N1428" s="552"/>
      <c r="O1428" s="552"/>
    </row>
    <row r="1429" spans="14:15" ht="30.95" customHeight="1">
      <c r="N1429" s="552"/>
      <c r="O1429" s="552"/>
    </row>
    <row r="1430" spans="14:15" ht="30.95" customHeight="1">
      <c r="N1430" s="552"/>
      <c r="O1430" s="552"/>
    </row>
    <row r="1431" spans="14:15" ht="30.95" customHeight="1">
      <c r="N1431" s="552"/>
      <c r="O1431" s="552"/>
    </row>
    <row r="1432" spans="14:15" ht="30.95" customHeight="1">
      <c r="N1432" s="552"/>
      <c r="O1432" s="552"/>
    </row>
    <row r="1433" spans="14:15" ht="30.95" customHeight="1">
      <c r="N1433" s="552"/>
      <c r="O1433" s="552"/>
    </row>
    <row r="1434" spans="14:15" ht="30.95" customHeight="1">
      <c r="N1434" s="552"/>
      <c r="O1434" s="552"/>
    </row>
    <row r="1435" spans="14:15" ht="30.95" customHeight="1">
      <c r="N1435" s="552"/>
      <c r="O1435" s="552"/>
    </row>
    <row r="1436" spans="14:15" ht="30.95" customHeight="1">
      <c r="N1436" s="552"/>
      <c r="O1436" s="552"/>
    </row>
    <row r="1437" spans="14:15" ht="30.95" customHeight="1">
      <c r="N1437" s="552"/>
      <c r="O1437" s="552"/>
    </row>
    <row r="1438" spans="14:15" ht="30.95" customHeight="1">
      <c r="N1438" s="552"/>
      <c r="O1438" s="552"/>
    </row>
    <row r="1439" spans="14:15" ht="30.95" customHeight="1">
      <c r="N1439" s="552"/>
      <c r="O1439" s="552"/>
    </row>
    <row r="1440" spans="14:15" ht="30.95" customHeight="1">
      <c r="N1440" s="552"/>
      <c r="O1440" s="552"/>
    </row>
    <row r="1441" spans="14:15" ht="30.95" customHeight="1">
      <c r="N1441" s="552"/>
      <c r="O1441" s="552"/>
    </row>
    <row r="1442" spans="14:15" ht="30.95" customHeight="1">
      <c r="N1442" s="552"/>
      <c r="O1442" s="552"/>
    </row>
    <row r="1443" spans="14:15" ht="30.95" customHeight="1">
      <c r="N1443" s="552"/>
      <c r="O1443" s="552"/>
    </row>
    <row r="1444" spans="14:15" ht="30.95" customHeight="1">
      <c r="N1444" s="552"/>
      <c r="O1444" s="552"/>
    </row>
    <row r="1445" spans="14:15" ht="30.95" customHeight="1">
      <c r="N1445" s="552"/>
      <c r="O1445" s="552"/>
    </row>
    <row r="1446" spans="14:15" ht="30.95" customHeight="1">
      <c r="N1446" s="552"/>
      <c r="O1446" s="552"/>
    </row>
    <row r="1447" spans="14:15" ht="30.95" customHeight="1">
      <c r="N1447" s="552"/>
      <c r="O1447" s="552"/>
    </row>
    <row r="1448" spans="14:15" ht="30.95" customHeight="1">
      <c r="N1448" s="552"/>
      <c r="O1448" s="552"/>
    </row>
    <row r="1449" spans="14:15" ht="30.95" customHeight="1">
      <c r="N1449" s="552"/>
      <c r="O1449" s="552"/>
    </row>
    <row r="1450" spans="14:15" ht="30.95" customHeight="1">
      <c r="N1450" s="552"/>
      <c r="O1450" s="552"/>
    </row>
    <row r="1451" spans="14:15" ht="30.95" customHeight="1">
      <c r="N1451" s="552"/>
      <c r="O1451" s="552"/>
    </row>
    <row r="1452" spans="14:15" ht="30.95" customHeight="1">
      <c r="N1452" s="552"/>
      <c r="O1452" s="552"/>
    </row>
    <row r="1453" spans="14:15" ht="30.95" customHeight="1">
      <c r="N1453" s="552"/>
      <c r="O1453" s="552"/>
    </row>
    <row r="1454" spans="14:15" ht="30.95" customHeight="1">
      <c r="N1454" s="552"/>
      <c r="O1454" s="552"/>
    </row>
    <row r="1455" spans="14:15" ht="30.95" customHeight="1">
      <c r="N1455" s="552"/>
      <c r="O1455" s="552"/>
    </row>
    <row r="1456" spans="14:15" ht="30.95" customHeight="1">
      <c r="N1456" s="552"/>
      <c r="O1456" s="552"/>
    </row>
    <row r="1457" spans="14:15" ht="30.95" customHeight="1">
      <c r="N1457" s="552"/>
      <c r="O1457" s="552"/>
    </row>
    <row r="1458" spans="14:15" ht="30.95" customHeight="1">
      <c r="N1458" s="552"/>
      <c r="O1458" s="552"/>
    </row>
    <row r="1459" spans="14:15" ht="30.95" customHeight="1">
      <c r="N1459" s="552"/>
      <c r="O1459" s="552"/>
    </row>
    <row r="1460" spans="14:15" ht="30.95" customHeight="1">
      <c r="N1460" s="552"/>
      <c r="O1460" s="552"/>
    </row>
    <row r="1461" spans="14:15" ht="30.95" customHeight="1">
      <c r="N1461" s="552"/>
      <c r="O1461" s="552"/>
    </row>
    <row r="1462" spans="14:15" ht="30.95" customHeight="1">
      <c r="N1462" s="552"/>
      <c r="O1462" s="552"/>
    </row>
    <row r="1463" spans="14:15" ht="30.95" customHeight="1">
      <c r="N1463" s="552"/>
      <c r="O1463" s="552"/>
    </row>
    <row r="1464" spans="14:15" ht="30.95" customHeight="1">
      <c r="N1464" s="552"/>
      <c r="O1464" s="552"/>
    </row>
    <row r="1465" spans="14:15" ht="30.95" customHeight="1">
      <c r="N1465" s="552"/>
      <c r="O1465" s="552"/>
    </row>
    <row r="1466" spans="14:15" ht="30.95" customHeight="1">
      <c r="N1466" s="552"/>
      <c r="O1466" s="552"/>
    </row>
    <row r="1467" spans="14:15" ht="30.95" customHeight="1">
      <c r="N1467" s="552"/>
      <c r="O1467" s="552"/>
    </row>
    <row r="1468" spans="14:15" ht="30.95" customHeight="1">
      <c r="N1468" s="552"/>
      <c r="O1468" s="552"/>
    </row>
    <row r="1469" spans="14:15" ht="30.95" customHeight="1">
      <c r="N1469" s="552"/>
      <c r="O1469" s="552"/>
    </row>
    <row r="1470" spans="14:15" ht="30.95" customHeight="1">
      <c r="N1470" s="552"/>
      <c r="O1470" s="552"/>
    </row>
    <row r="1471" spans="14:15" ht="30.95" customHeight="1">
      <c r="N1471" s="552"/>
      <c r="O1471" s="552"/>
    </row>
    <row r="1472" spans="14:15" ht="30.95" customHeight="1">
      <c r="N1472" s="552"/>
      <c r="O1472" s="552"/>
    </row>
    <row r="1473" spans="14:15" ht="30.95" customHeight="1">
      <c r="N1473" s="552"/>
      <c r="O1473" s="552"/>
    </row>
    <row r="1474" spans="14:15" ht="30.95" customHeight="1">
      <c r="N1474" s="552"/>
      <c r="O1474" s="552"/>
    </row>
    <row r="1475" spans="14:15" ht="30.95" customHeight="1">
      <c r="N1475" s="552"/>
      <c r="O1475" s="552"/>
    </row>
    <row r="1476" spans="14:15" ht="30.95" customHeight="1">
      <c r="N1476" s="552"/>
      <c r="O1476" s="552"/>
    </row>
    <row r="1477" spans="14:15" ht="30.95" customHeight="1">
      <c r="N1477" s="552"/>
      <c r="O1477" s="552"/>
    </row>
    <row r="1478" spans="14:15" ht="30.95" customHeight="1">
      <c r="N1478" s="552"/>
      <c r="O1478" s="552"/>
    </row>
    <row r="1479" spans="14:15" ht="30.95" customHeight="1">
      <c r="N1479" s="552"/>
      <c r="O1479" s="552"/>
    </row>
    <row r="1480" spans="14:15" ht="30.95" customHeight="1">
      <c r="N1480" s="552"/>
      <c r="O1480" s="552"/>
    </row>
    <row r="1481" spans="14:15" ht="30.95" customHeight="1">
      <c r="N1481" s="552"/>
      <c r="O1481" s="552"/>
    </row>
    <row r="1482" spans="14:15" ht="30.95" customHeight="1">
      <c r="N1482" s="552"/>
      <c r="O1482" s="552"/>
    </row>
    <row r="1483" spans="14:15" ht="30.95" customHeight="1">
      <c r="N1483" s="552"/>
      <c r="O1483" s="552"/>
    </row>
    <row r="1484" spans="14:15" ht="30.95" customHeight="1">
      <c r="N1484" s="552"/>
      <c r="O1484" s="552"/>
    </row>
    <row r="1485" spans="14:15" ht="30.95" customHeight="1">
      <c r="N1485" s="552"/>
      <c r="O1485" s="552"/>
    </row>
    <row r="1486" spans="14:15" ht="30.95" customHeight="1">
      <c r="N1486" s="552"/>
      <c r="O1486" s="552"/>
    </row>
    <row r="1487" spans="14:15" ht="30.95" customHeight="1">
      <c r="N1487" s="552"/>
      <c r="O1487" s="552"/>
    </row>
    <row r="1488" spans="14:15" ht="30.95" customHeight="1">
      <c r="N1488" s="552"/>
      <c r="O1488" s="552"/>
    </row>
    <row r="1489" spans="14:15" ht="30.95" customHeight="1">
      <c r="N1489" s="552"/>
      <c r="O1489" s="552"/>
    </row>
    <row r="1490" spans="14:15" ht="30.95" customHeight="1">
      <c r="N1490" s="552"/>
      <c r="O1490" s="552"/>
    </row>
    <row r="1491" spans="14:15" ht="30.95" customHeight="1">
      <c r="N1491" s="552"/>
      <c r="O1491" s="552"/>
    </row>
    <row r="1492" spans="14:15" ht="30.95" customHeight="1">
      <c r="N1492" s="552"/>
      <c r="O1492" s="552"/>
    </row>
    <row r="1493" spans="14:15" ht="30.95" customHeight="1">
      <c r="N1493" s="552"/>
      <c r="O1493" s="552"/>
    </row>
    <row r="1494" spans="14:15" ht="30.95" customHeight="1">
      <c r="N1494" s="552"/>
      <c r="O1494" s="552"/>
    </row>
    <row r="1495" spans="14:15" ht="30.95" customHeight="1">
      <c r="N1495" s="552"/>
      <c r="O1495" s="552"/>
    </row>
    <row r="1496" spans="14:15" ht="30.95" customHeight="1">
      <c r="N1496" s="552"/>
      <c r="O1496" s="552"/>
    </row>
    <row r="1497" spans="14:15" ht="30.95" customHeight="1">
      <c r="N1497" s="552"/>
      <c r="O1497" s="552"/>
    </row>
    <row r="1498" spans="14:15" ht="30.95" customHeight="1">
      <c r="N1498" s="552"/>
      <c r="O1498" s="552"/>
    </row>
    <row r="1499" spans="14:15" ht="30.95" customHeight="1">
      <c r="N1499" s="552"/>
      <c r="O1499" s="552"/>
    </row>
    <row r="1500" spans="14:15" ht="30.95" customHeight="1">
      <c r="N1500" s="552"/>
      <c r="O1500" s="552"/>
    </row>
    <row r="1501" spans="14:15" ht="30.95" customHeight="1">
      <c r="N1501" s="552"/>
      <c r="O1501" s="552"/>
    </row>
    <row r="1502" spans="14:15" ht="30.95" customHeight="1">
      <c r="N1502" s="552"/>
      <c r="O1502" s="552"/>
    </row>
    <row r="1503" spans="14:15" ht="30.95" customHeight="1">
      <c r="N1503" s="552"/>
      <c r="O1503" s="552"/>
    </row>
    <row r="1504" spans="14:15" ht="30.95" customHeight="1">
      <c r="N1504" s="552"/>
      <c r="O1504" s="552"/>
    </row>
    <row r="1505" spans="14:15" ht="30.95" customHeight="1">
      <c r="N1505" s="552"/>
      <c r="O1505" s="552"/>
    </row>
    <row r="1506" spans="14:15" ht="30.95" customHeight="1">
      <c r="N1506" s="552"/>
      <c r="O1506" s="552"/>
    </row>
    <row r="1507" spans="14:15" ht="30.95" customHeight="1">
      <c r="N1507" s="552"/>
      <c r="O1507" s="552"/>
    </row>
    <row r="1508" spans="14:15" ht="30.95" customHeight="1">
      <c r="N1508" s="552"/>
      <c r="O1508" s="552"/>
    </row>
    <row r="1509" spans="14:15" ht="30.95" customHeight="1">
      <c r="N1509" s="552"/>
      <c r="O1509" s="552"/>
    </row>
    <row r="1510" spans="14:15" ht="30.95" customHeight="1">
      <c r="N1510" s="552"/>
      <c r="O1510" s="552"/>
    </row>
    <row r="1511" spans="14:15" ht="30.95" customHeight="1">
      <c r="N1511" s="552"/>
      <c r="O1511" s="552"/>
    </row>
    <row r="1512" spans="14:15" ht="30.95" customHeight="1">
      <c r="N1512" s="552"/>
      <c r="O1512" s="552"/>
    </row>
    <row r="1513" spans="14:15" ht="30.95" customHeight="1">
      <c r="N1513" s="552"/>
      <c r="O1513" s="552"/>
    </row>
    <row r="1514" spans="14:15" ht="30.95" customHeight="1">
      <c r="N1514" s="552"/>
      <c r="O1514" s="552"/>
    </row>
    <row r="1515" spans="14:15" ht="30.95" customHeight="1">
      <c r="N1515" s="552"/>
      <c r="O1515" s="552"/>
    </row>
    <row r="1516" spans="14:15" ht="30.95" customHeight="1">
      <c r="N1516" s="552"/>
      <c r="O1516" s="552"/>
    </row>
    <row r="1517" spans="14:15" ht="30.95" customHeight="1">
      <c r="N1517" s="552"/>
      <c r="O1517" s="552"/>
    </row>
    <row r="1518" spans="14:15" ht="30.95" customHeight="1">
      <c r="N1518" s="552"/>
      <c r="O1518" s="552"/>
    </row>
    <row r="1519" spans="14:15" ht="30.95" customHeight="1">
      <c r="N1519" s="552"/>
      <c r="O1519" s="552"/>
    </row>
    <row r="1520" spans="14:15" ht="30.95" customHeight="1">
      <c r="N1520" s="552"/>
      <c r="O1520" s="552"/>
    </row>
    <row r="1521" spans="14:15" ht="30.95" customHeight="1">
      <c r="N1521" s="552"/>
      <c r="O1521" s="552"/>
    </row>
    <row r="1522" spans="14:15" ht="30.95" customHeight="1">
      <c r="N1522" s="552"/>
      <c r="O1522" s="552"/>
    </row>
    <row r="1523" spans="14:15" ht="30.95" customHeight="1">
      <c r="N1523" s="552"/>
      <c r="O1523" s="552"/>
    </row>
    <row r="1524" spans="14:15" ht="30.95" customHeight="1">
      <c r="N1524" s="552"/>
      <c r="O1524" s="552"/>
    </row>
    <row r="1525" spans="14:15" ht="30.95" customHeight="1">
      <c r="N1525" s="552"/>
      <c r="O1525" s="552"/>
    </row>
    <row r="1526" spans="14:15" ht="30.95" customHeight="1">
      <c r="N1526" s="552"/>
      <c r="O1526" s="552"/>
    </row>
    <row r="1527" spans="14:15" ht="30.95" customHeight="1">
      <c r="N1527" s="552"/>
      <c r="O1527" s="552"/>
    </row>
    <row r="1528" spans="14:15" ht="30.95" customHeight="1">
      <c r="N1528" s="552"/>
      <c r="O1528" s="552"/>
    </row>
    <row r="1529" spans="14:15" ht="30.95" customHeight="1">
      <c r="N1529" s="552"/>
      <c r="O1529" s="552"/>
    </row>
    <row r="1530" spans="14:15" ht="30.95" customHeight="1">
      <c r="N1530" s="552"/>
      <c r="O1530" s="552"/>
    </row>
    <row r="1531" spans="14:15" ht="30.95" customHeight="1">
      <c r="N1531" s="552"/>
      <c r="O1531" s="552"/>
    </row>
    <row r="1532" spans="14:15" ht="30.95" customHeight="1">
      <c r="N1532" s="552"/>
      <c r="O1532" s="552"/>
    </row>
    <row r="1533" spans="14:15" ht="30.95" customHeight="1">
      <c r="N1533" s="552"/>
      <c r="O1533" s="552"/>
    </row>
    <row r="1534" spans="14:15" ht="30.95" customHeight="1">
      <c r="N1534" s="552"/>
      <c r="O1534" s="552"/>
    </row>
    <row r="1535" spans="14:15" ht="30.95" customHeight="1">
      <c r="N1535" s="552"/>
      <c r="O1535" s="552"/>
    </row>
    <row r="1536" spans="14:15" ht="30.95" customHeight="1">
      <c r="N1536" s="552"/>
      <c r="O1536" s="552"/>
    </row>
    <row r="1537" spans="14:15" ht="30.95" customHeight="1">
      <c r="N1537" s="552"/>
      <c r="O1537" s="552"/>
    </row>
    <row r="1538" spans="14:15" ht="30.95" customHeight="1">
      <c r="N1538" s="552"/>
      <c r="O1538" s="552"/>
    </row>
    <row r="1539" spans="14:15" ht="30.95" customHeight="1">
      <c r="N1539" s="552"/>
      <c r="O1539" s="552"/>
    </row>
    <row r="1540" spans="14:15" ht="30.95" customHeight="1">
      <c r="N1540" s="552"/>
      <c r="O1540" s="552"/>
    </row>
    <row r="1541" spans="14:15" ht="30.95" customHeight="1">
      <c r="N1541" s="552"/>
      <c r="O1541" s="552"/>
    </row>
    <row r="1542" spans="14:15" ht="30.95" customHeight="1">
      <c r="N1542" s="552"/>
      <c r="O1542" s="552"/>
    </row>
    <row r="1543" spans="14:15" ht="30.95" customHeight="1">
      <c r="N1543" s="552"/>
      <c r="O1543" s="552"/>
    </row>
    <row r="1544" spans="14:15" ht="30.95" customHeight="1">
      <c r="N1544" s="552"/>
      <c r="O1544" s="552"/>
    </row>
    <row r="1545" spans="14:15" ht="30.95" customHeight="1">
      <c r="N1545" s="552"/>
      <c r="O1545" s="552"/>
    </row>
    <row r="1546" spans="14:15" ht="30.95" customHeight="1">
      <c r="N1546" s="552"/>
      <c r="O1546" s="552"/>
    </row>
    <row r="1547" spans="14:15" ht="30.95" customHeight="1">
      <c r="N1547" s="552"/>
      <c r="O1547" s="552"/>
    </row>
    <row r="1548" spans="14:15" ht="30.95" customHeight="1">
      <c r="N1548" s="552"/>
      <c r="O1548" s="552"/>
    </row>
    <row r="1549" spans="14:15" ht="30.95" customHeight="1">
      <c r="N1549" s="552"/>
      <c r="O1549" s="552"/>
    </row>
    <row r="1550" spans="14:15" ht="30.95" customHeight="1">
      <c r="N1550" s="552"/>
      <c r="O1550" s="552"/>
    </row>
    <row r="1551" spans="14:15" ht="30.95" customHeight="1">
      <c r="N1551" s="552"/>
      <c r="O1551" s="552"/>
    </row>
    <row r="1552" spans="14:15" ht="30.95" customHeight="1">
      <c r="N1552" s="552"/>
      <c r="O1552" s="552"/>
    </row>
    <row r="1553" spans="14:15" ht="30.95" customHeight="1">
      <c r="N1553" s="552"/>
      <c r="O1553" s="552"/>
    </row>
    <row r="1554" spans="14:15" ht="30.95" customHeight="1">
      <c r="N1554" s="552"/>
      <c r="O1554" s="552"/>
    </row>
    <row r="1555" spans="14:15" ht="30.95" customHeight="1">
      <c r="N1555" s="552"/>
      <c r="O1555" s="552"/>
    </row>
    <row r="1556" spans="14:15" ht="30.95" customHeight="1">
      <c r="N1556" s="552"/>
      <c r="O1556" s="552"/>
    </row>
    <row r="1557" spans="14:15" ht="30.95" customHeight="1">
      <c r="N1557" s="552"/>
      <c r="O1557" s="552"/>
    </row>
    <row r="1558" spans="14:15" ht="30.95" customHeight="1">
      <c r="N1558" s="552"/>
      <c r="O1558" s="552"/>
    </row>
    <row r="1559" spans="14:15" ht="30.95" customHeight="1">
      <c r="N1559" s="552"/>
      <c r="O1559" s="552"/>
    </row>
    <row r="1560" spans="14:15" ht="30.95" customHeight="1">
      <c r="N1560" s="552"/>
      <c r="O1560" s="552"/>
    </row>
    <row r="1561" spans="14:15" ht="30.95" customHeight="1">
      <c r="N1561" s="552"/>
      <c r="O1561" s="552"/>
    </row>
    <row r="1562" spans="14:15" ht="30.95" customHeight="1">
      <c r="N1562" s="552"/>
      <c r="O1562" s="552"/>
    </row>
    <row r="1563" spans="14:15" ht="30.95" customHeight="1">
      <c r="N1563" s="552"/>
      <c r="O1563" s="552"/>
    </row>
    <row r="1564" spans="14:15" ht="30.95" customHeight="1">
      <c r="N1564" s="552"/>
      <c r="O1564" s="552"/>
    </row>
    <row r="1565" spans="14:15" ht="30.95" customHeight="1">
      <c r="N1565" s="552"/>
      <c r="O1565" s="552"/>
    </row>
    <row r="1566" spans="14:15" ht="30.95" customHeight="1">
      <c r="N1566" s="552"/>
      <c r="O1566" s="552"/>
    </row>
    <row r="1567" spans="14:15" ht="30.95" customHeight="1">
      <c r="N1567" s="552"/>
      <c r="O1567" s="552"/>
    </row>
    <row r="1568" spans="14:15" ht="30.95" customHeight="1">
      <c r="N1568" s="552"/>
      <c r="O1568" s="552"/>
    </row>
    <row r="1569" spans="14:15" ht="30.95" customHeight="1">
      <c r="N1569" s="552"/>
      <c r="O1569" s="552"/>
    </row>
    <row r="1570" spans="14:15" ht="30.95" customHeight="1">
      <c r="N1570" s="552"/>
      <c r="O1570" s="552"/>
    </row>
    <row r="1571" spans="14:15" ht="30.95" customHeight="1">
      <c r="N1571" s="552"/>
      <c r="O1571" s="552"/>
    </row>
    <row r="1572" spans="14:15" ht="30.95" customHeight="1">
      <c r="N1572" s="552"/>
      <c r="O1572" s="552"/>
    </row>
    <row r="1573" spans="14:15" ht="30.95" customHeight="1">
      <c r="N1573" s="552"/>
      <c r="O1573" s="552"/>
    </row>
    <row r="1574" spans="14:15" ht="30.95" customHeight="1">
      <c r="N1574" s="552"/>
      <c r="O1574" s="552"/>
    </row>
    <row r="1575" spans="14:15" ht="30.95" customHeight="1">
      <c r="N1575" s="552"/>
      <c r="O1575" s="552"/>
    </row>
    <row r="1576" spans="14:15" ht="30.95" customHeight="1">
      <c r="N1576" s="552"/>
      <c r="O1576" s="552"/>
    </row>
    <row r="1577" spans="14:15" ht="30.95" customHeight="1">
      <c r="N1577" s="552"/>
      <c r="O1577" s="552"/>
    </row>
    <row r="1578" spans="14:15" ht="30.95" customHeight="1">
      <c r="N1578" s="552"/>
      <c r="O1578" s="552"/>
    </row>
    <row r="1579" spans="14:15" ht="30.95" customHeight="1">
      <c r="N1579" s="552"/>
      <c r="O1579" s="552"/>
    </row>
    <row r="1580" spans="14:15" ht="30.95" customHeight="1">
      <c r="N1580" s="552"/>
      <c r="O1580" s="552"/>
    </row>
    <row r="1581" spans="14:15" ht="30.95" customHeight="1">
      <c r="N1581" s="552"/>
      <c r="O1581" s="552"/>
    </row>
    <row r="1582" spans="14:15" ht="30.95" customHeight="1">
      <c r="N1582" s="552"/>
      <c r="O1582" s="552"/>
    </row>
    <row r="1583" spans="14:15" ht="30.95" customHeight="1">
      <c r="N1583" s="552"/>
      <c r="O1583" s="552"/>
    </row>
    <row r="1584" spans="14:15" ht="30.95" customHeight="1">
      <c r="N1584" s="552"/>
      <c r="O1584" s="552"/>
    </row>
    <row r="1585" spans="14:15" ht="30.95" customHeight="1">
      <c r="N1585" s="552"/>
      <c r="O1585" s="552"/>
    </row>
    <row r="1586" spans="14:15" ht="30.95" customHeight="1">
      <c r="N1586" s="552"/>
      <c r="O1586" s="552"/>
    </row>
    <row r="1587" spans="14:15" ht="30.95" customHeight="1">
      <c r="N1587" s="552"/>
      <c r="O1587" s="552"/>
    </row>
    <row r="1588" spans="14:15" ht="30.95" customHeight="1">
      <c r="N1588" s="552"/>
      <c r="O1588" s="552"/>
    </row>
    <row r="1589" spans="14:15" ht="30.95" customHeight="1">
      <c r="N1589" s="552"/>
      <c r="O1589" s="552"/>
    </row>
    <row r="1590" spans="14:15" ht="30.95" customHeight="1">
      <c r="N1590" s="552"/>
      <c r="O1590" s="552"/>
    </row>
    <row r="1591" spans="14:15" ht="30.95" customHeight="1">
      <c r="N1591" s="552"/>
      <c r="O1591" s="552"/>
    </row>
    <row r="1592" spans="14:15" ht="30.95" customHeight="1">
      <c r="N1592" s="552"/>
      <c r="O1592" s="552"/>
    </row>
    <row r="1593" spans="14:15" ht="30.95" customHeight="1">
      <c r="N1593" s="552"/>
      <c r="O1593" s="552"/>
    </row>
    <row r="1594" spans="14:15" ht="30.95" customHeight="1">
      <c r="N1594" s="552"/>
      <c r="O1594" s="552"/>
    </row>
    <row r="1595" spans="14:15" ht="30.95" customHeight="1">
      <c r="N1595" s="552"/>
      <c r="O1595" s="552"/>
    </row>
    <row r="1596" spans="14:15" ht="30.95" customHeight="1">
      <c r="N1596" s="552"/>
      <c r="O1596" s="552"/>
    </row>
    <row r="1597" spans="14:15" ht="30.95" customHeight="1">
      <c r="N1597" s="552"/>
      <c r="O1597" s="552"/>
    </row>
    <row r="1598" spans="14:15" ht="30.95" customHeight="1">
      <c r="N1598" s="552"/>
      <c r="O1598" s="552"/>
    </row>
    <row r="1599" spans="14:15" ht="30.95" customHeight="1">
      <c r="N1599" s="552"/>
      <c r="O1599" s="552"/>
    </row>
    <row r="1600" spans="14:15" ht="30.95" customHeight="1">
      <c r="N1600" s="552"/>
      <c r="O1600" s="552"/>
    </row>
    <row r="1601" spans="14:15" ht="30.95" customHeight="1">
      <c r="N1601" s="552"/>
      <c r="O1601" s="552"/>
    </row>
    <row r="1602" spans="14:15" ht="30.95" customHeight="1">
      <c r="N1602" s="552"/>
      <c r="O1602" s="552"/>
    </row>
    <row r="1603" spans="14:15" ht="30.95" customHeight="1">
      <c r="N1603" s="552"/>
      <c r="O1603" s="552"/>
    </row>
    <row r="1604" spans="14:15" ht="30.95" customHeight="1">
      <c r="N1604" s="552"/>
      <c r="O1604" s="552"/>
    </row>
    <row r="1605" spans="14:15" ht="30.95" customHeight="1">
      <c r="N1605" s="552"/>
      <c r="O1605" s="552"/>
    </row>
    <row r="1606" spans="14:15" ht="30.95" customHeight="1">
      <c r="N1606" s="552"/>
      <c r="O1606" s="552"/>
    </row>
    <row r="1607" spans="14:15" ht="30.95" customHeight="1">
      <c r="N1607" s="552"/>
      <c r="O1607" s="552"/>
    </row>
    <row r="1608" spans="14:15" ht="30.95" customHeight="1">
      <c r="N1608" s="552"/>
      <c r="O1608" s="552"/>
    </row>
    <row r="1609" spans="14:15" ht="30.95" customHeight="1">
      <c r="N1609" s="552"/>
      <c r="O1609" s="552"/>
    </row>
    <row r="1610" spans="14:15" ht="30.95" customHeight="1">
      <c r="N1610" s="552"/>
      <c r="O1610" s="552"/>
    </row>
    <row r="1611" spans="14:15" ht="30.95" customHeight="1">
      <c r="N1611" s="552"/>
      <c r="O1611" s="552"/>
    </row>
    <row r="1612" spans="14:15" ht="30.95" customHeight="1">
      <c r="N1612" s="552"/>
      <c r="O1612" s="552"/>
    </row>
    <row r="1613" spans="14:15" ht="30.95" customHeight="1">
      <c r="N1613" s="552"/>
      <c r="O1613" s="552"/>
    </row>
    <row r="1614" spans="14:15" ht="30.95" customHeight="1">
      <c r="N1614" s="552"/>
      <c r="O1614" s="552"/>
    </row>
    <row r="1615" spans="14:15" ht="30.95" customHeight="1">
      <c r="N1615" s="552"/>
      <c r="O1615" s="552"/>
    </row>
    <row r="1616" spans="14:15" ht="30.95" customHeight="1">
      <c r="N1616" s="552"/>
      <c r="O1616" s="552"/>
    </row>
    <row r="1617" spans="14:15" ht="30.95" customHeight="1">
      <c r="N1617" s="552"/>
      <c r="O1617" s="552"/>
    </row>
    <row r="1618" spans="14:15" ht="30.95" customHeight="1">
      <c r="N1618" s="552"/>
      <c r="O1618" s="552"/>
    </row>
    <row r="1619" spans="14:15" ht="30.95" customHeight="1">
      <c r="N1619" s="552"/>
      <c r="O1619" s="552"/>
    </row>
    <row r="1620" spans="14:15" ht="30.95" customHeight="1">
      <c r="N1620" s="552"/>
      <c r="O1620" s="552"/>
    </row>
    <row r="1621" spans="14:15" ht="30.95" customHeight="1">
      <c r="N1621" s="552"/>
      <c r="O1621" s="552"/>
    </row>
    <row r="1622" spans="14:15" ht="30.95" customHeight="1">
      <c r="N1622" s="552"/>
      <c r="O1622" s="552"/>
    </row>
    <row r="1623" spans="14:15" ht="30.95" customHeight="1">
      <c r="N1623" s="552"/>
      <c r="O1623" s="552"/>
    </row>
    <row r="1624" spans="14:15" ht="30.95" customHeight="1">
      <c r="N1624" s="552"/>
      <c r="O1624" s="552"/>
    </row>
    <row r="1625" spans="14:15" ht="30.95" customHeight="1">
      <c r="N1625" s="552"/>
      <c r="O1625" s="552"/>
    </row>
    <row r="1626" spans="14:15" ht="30.95" customHeight="1">
      <c r="N1626" s="552"/>
      <c r="O1626" s="552"/>
    </row>
    <row r="1627" spans="14:15" ht="30.95" customHeight="1">
      <c r="N1627" s="552"/>
      <c r="O1627" s="552"/>
    </row>
    <row r="1628" spans="14:15" ht="30.95" customHeight="1">
      <c r="N1628" s="552"/>
      <c r="O1628" s="552"/>
    </row>
    <row r="1629" spans="14:15" ht="30.95" customHeight="1">
      <c r="N1629" s="552"/>
      <c r="O1629" s="552"/>
    </row>
    <row r="1630" spans="14:15" ht="30.95" customHeight="1">
      <c r="N1630" s="552"/>
      <c r="O1630" s="552"/>
    </row>
    <row r="1631" spans="14:15" ht="30.95" customHeight="1">
      <c r="N1631" s="552"/>
      <c r="O1631" s="552"/>
    </row>
    <row r="1632" spans="14:15" ht="30.95" customHeight="1">
      <c r="N1632" s="552"/>
      <c r="O1632" s="552"/>
    </row>
    <row r="1633" spans="14:15" ht="30.95" customHeight="1">
      <c r="N1633" s="552"/>
      <c r="O1633" s="552"/>
    </row>
    <row r="1634" spans="14:15" ht="30.95" customHeight="1">
      <c r="N1634" s="552"/>
      <c r="O1634" s="552"/>
    </row>
    <row r="1635" spans="14:15" ht="30.95" customHeight="1">
      <c r="N1635" s="552"/>
      <c r="O1635" s="552"/>
    </row>
    <row r="1636" spans="14:15" ht="30.95" customHeight="1">
      <c r="N1636" s="552"/>
      <c r="O1636" s="552"/>
    </row>
    <row r="1637" spans="14:15" ht="30.95" customHeight="1">
      <c r="N1637" s="552"/>
      <c r="O1637" s="552"/>
    </row>
    <row r="1638" spans="14:15" ht="30.95" customHeight="1">
      <c r="N1638" s="552"/>
      <c r="O1638" s="552"/>
    </row>
    <row r="1639" spans="14:15" ht="30.95" customHeight="1">
      <c r="N1639" s="552"/>
      <c r="O1639" s="552"/>
    </row>
    <row r="1640" spans="14:15" ht="30.95" customHeight="1">
      <c r="N1640" s="552"/>
      <c r="O1640" s="552"/>
    </row>
    <row r="1641" spans="14:15" ht="30.95" customHeight="1">
      <c r="N1641" s="552"/>
      <c r="O1641" s="552"/>
    </row>
    <row r="1642" spans="14:15" ht="30.95" customHeight="1">
      <c r="N1642" s="552"/>
      <c r="O1642" s="552"/>
    </row>
    <row r="1643" spans="14:15" ht="30.95" customHeight="1">
      <c r="N1643" s="552"/>
      <c r="O1643" s="552"/>
    </row>
    <row r="1644" spans="14:15" ht="30.95" customHeight="1">
      <c r="N1644" s="552"/>
      <c r="O1644" s="552"/>
    </row>
    <row r="1645" spans="14:15" ht="30.95" customHeight="1">
      <c r="N1645" s="552"/>
      <c r="O1645" s="552"/>
    </row>
    <row r="1646" spans="14:15" ht="30.95" customHeight="1">
      <c r="N1646" s="552"/>
      <c r="O1646" s="552"/>
    </row>
    <row r="1647" spans="14:15" ht="30.95" customHeight="1">
      <c r="N1647" s="552"/>
      <c r="O1647" s="552"/>
    </row>
    <row r="1648" spans="14:15" ht="30.95" customHeight="1">
      <c r="N1648" s="552"/>
      <c r="O1648" s="552"/>
    </row>
    <row r="1649" spans="14:15" ht="30.95" customHeight="1">
      <c r="N1649" s="552"/>
      <c r="O1649" s="552"/>
    </row>
    <row r="1650" spans="14:15" ht="30.95" customHeight="1">
      <c r="N1650" s="552"/>
      <c r="O1650" s="552"/>
    </row>
    <row r="1651" spans="14:15" ht="30.95" customHeight="1">
      <c r="N1651" s="552"/>
      <c r="O1651" s="552"/>
    </row>
    <row r="1652" spans="14:15" ht="30.95" customHeight="1">
      <c r="N1652" s="552"/>
      <c r="O1652" s="552"/>
    </row>
    <row r="1653" spans="14:15" ht="30.95" customHeight="1">
      <c r="N1653" s="552"/>
      <c r="O1653" s="552"/>
    </row>
    <row r="1654" spans="14:15" ht="30.95" customHeight="1">
      <c r="N1654" s="552"/>
      <c r="O1654" s="552"/>
    </row>
    <row r="1655" spans="14:15" ht="30.95" customHeight="1">
      <c r="N1655" s="552"/>
      <c r="O1655" s="552"/>
    </row>
    <row r="1656" spans="14:15" ht="30.95" customHeight="1">
      <c r="N1656" s="552"/>
      <c r="O1656" s="552"/>
    </row>
    <row r="1657" spans="14:15" ht="30.95" customHeight="1">
      <c r="N1657" s="552"/>
      <c r="O1657" s="552"/>
    </row>
    <row r="1658" spans="14:15" ht="30.95" customHeight="1">
      <c r="N1658" s="552"/>
      <c r="O1658" s="552"/>
    </row>
    <row r="1659" spans="14:15" ht="30.95" customHeight="1">
      <c r="N1659" s="552"/>
      <c r="O1659" s="552"/>
    </row>
    <row r="1660" spans="14:15" ht="30.95" customHeight="1">
      <c r="N1660" s="552"/>
      <c r="O1660" s="552"/>
    </row>
    <row r="1661" spans="14:15" ht="30.95" customHeight="1">
      <c r="N1661" s="552"/>
      <c r="O1661" s="552"/>
    </row>
    <row r="1662" spans="14:15" ht="30.95" customHeight="1">
      <c r="N1662" s="552"/>
      <c r="O1662" s="552"/>
    </row>
    <row r="1663" spans="14:15" ht="30.95" customHeight="1">
      <c r="N1663" s="552"/>
      <c r="O1663" s="552"/>
    </row>
    <row r="1664" spans="14:15" ht="30.95" customHeight="1">
      <c r="N1664" s="552"/>
      <c r="O1664" s="552"/>
    </row>
    <row r="1665" spans="14:15" ht="30.95" customHeight="1">
      <c r="N1665" s="552"/>
      <c r="O1665" s="552"/>
    </row>
    <row r="1666" spans="14:15" ht="30.95" customHeight="1">
      <c r="N1666" s="552"/>
      <c r="O1666" s="552"/>
    </row>
    <row r="1667" spans="14:15" ht="30.95" customHeight="1">
      <c r="N1667" s="552"/>
      <c r="O1667" s="552"/>
    </row>
    <row r="1668" spans="14:15" ht="30.95" customHeight="1">
      <c r="N1668" s="552"/>
      <c r="O1668" s="552"/>
    </row>
    <row r="1669" spans="14:15" ht="30.95" customHeight="1">
      <c r="N1669" s="552"/>
      <c r="O1669" s="552"/>
    </row>
    <row r="1670" spans="14:15" ht="30.95" customHeight="1">
      <c r="N1670" s="552"/>
      <c r="O1670" s="552"/>
    </row>
    <row r="1671" spans="14:15" ht="30.95" customHeight="1">
      <c r="N1671" s="552"/>
      <c r="O1671" s="552"/>
    </row>
    <row r="1672" spans="14:15" ht="30.95" customHeight="1">
      <c r="N1672" s="552"/>
      <c r="O1672" s="552"/>
    </row>
    <row r="1673" spans="14:15" ht="30.95" customHeight="1">
      <c r="N1673" s="552"/>
      <c r="O1673" s="552"/>
    </row>
    <row r="1674" spans="14:15" ht="30.95" customHeight="1">
      <c r="N1674" s="552"/>
      <c r="O1674" s="552"/>
    </row>
    <row r="1675" spans="14:15" ht="30.95" customHeight="1">
      <c r="N1675" s="552"/>
      <c r="O1675" s="552"/>
    </row>
    <row r="1676" spans="14:15" ht="30.95" customHeight="1">
      <c r="N1676" s="552"/>
      <c r="O1676" s="552"/>
    </row>
    <row r="1677" spans="14:15" ht="30.95" customHeight="1">
      <c r="N1677" s="552"/>
      <c r="O1677" s="552"/>
    </row>
    <row r="1678" spans="14:15" ht="30.95" customHeight="1">
      <c r="N1678" s="552"/>
      <c r="O1678" s="552"/>
    </row>
    <row r="1679" spans="14:15" ht="30.95" customHeight="1">
      <c r="N1679" s="552"/>
      <c r="O1679" s="552"/>
    </row>
    <row r="1680" spans="14:15" ht="30.95" customHeight="1">
      <c r="N1680" s="552"/>
      <c r="O1680" s="552"/>
    </row>
    <row r="1681" spans="14:15" ht="30.95" customHeight="1">
      <c r="N1681" s="552"/>
      <c r="O1681" s="552"/>
    </row>
    <row r="1682" spans="14:15" ht="30.95" customHeight="1">
      <c r="N1682" s="552"/>
      <c r="O1682" s="552"/>
    </row>
    <row r="1683" spans="14:15" ht="30.95" customHeight="1">
      <c r="N1683" s="552"/>
      <c r="O1683" s="552"/>
    </row>
    <row r="1684" spans="14:15" ht="30.95" customHeight="1">
      <c r="N1684" s="552"/>
      <c r="O1684" s="552"/>
    </row>
    <row r="1685" spans="14:15" ht="30.95" customHeight="1">
      <c r="N1685" s="552"/>
      <c r="O1685" s="552"/>
    </row>
    <row r="1686" spans="14:15" ht="30.95" customHeight="1">
      <c r="N1686" s="552"/>
      <c r="O1686" s="552"/>
    </row>
    <row r="1687" spans="14:15" ht="30.95" customHeight="1">
      <c r="N1687" s="552"/>
      <c r="O1687" s="552"/>
    </row>
    <row r="1688" spans="14:15" ht="30.95" customHeight="1">
      <c r="N1688" s="552"/>
      <c r="O1688" s="552"/>
    </row>
    <row r="1689" spans="14:15" ht="30.95" customHeight="1">
      <c r="N1689" s="552"/>
      <c r="O1689" s="552"/>
    </row>
    <row r="1690" spans="14:15" ht="30.95" customHeight="1">
      <c r="N1690" s="552"/>
      <c r="O1690" s="552"/>
    </row>
    <row r="1691" spans="14:15" ht="30.95" customHeight="1">
      <c r="N1691" s="552"/>
      <c r="O1691" s="552"/>
    </row>
    <row r="1692" spans="14:15" ht="30.95" customHeight="1">
      <c r="N1692" s="552"/>
      <c r="O1692" s="552"/>
    </row>
    <row r="1693" spans="14:15" ht="30.95" customHeight="1">
      <c r="N1693" s="552"/>
      <c r="O1693" s="552"/>
    </row>
    <row r="1694" spans="14:15" ht="30.95" customHeight="1">
      <c r="N1694" s="552"/>
      <c r="O1694" s="552"/>
    </row>
    <row r="1695" spans="14:15" ht="30.95" customHeight="1">
      <c r="N1695" s="552"/>
      <c r="O1695" s="552"/>
    </row>
    <row r="1696" spans="14:15" ht="30.95" customHeight="1">
      <c r="N1696" s="552"/>
      <c r="O1696" s="552"/>
    </row>
    <row r="1697" spans="14:15" ht="30.95" customHeight="1">
      <c r="N1697" s="552"/>
      <c r="O1697" s="552"/>
    </row>
    <row r="1698" spans="14:15" ht="30.95" customHeight="1">
      <c r="N1698" s="552"/>
      <c r="O1698" s="552"/>
    </row>
    <row r="1699" spans="14:15" ht="30.95" customHeight="1">
      <c r="N1699" s="552"/>
      <c r="O1699" s="552"/>
    </row>
    <row r="1700" spans="14:15" ht="30.95" customHeight="1">
      <c r="N1700" s="552"/>
      <c r="O1700" s="552"/>
    </row>
    <row r="1701" spans="14:15" ht="30.95" customHeight="1">
      <c r="N1701" s="552"/>
      <c r="O1701" s="552"/>
    </row>
    <row r="1702" spans="14:15" ht="30.95" customHeight="1">
      <c r="N1702" s="552"/>
      <c r="O1702" s="552"/>
    </row>
    <row r="1703" spans="14:15" ht="30.95" customHeight="1">
      <c r="N1703" s="552"/>
      <c r="O1703" s="552"/>
    </row>
    <row r="1704" spans="14:15" ht="30.95" customHeight="1">
      <c r="N1704" s="552"/>
      <c r="O1704" s="552"/>
    </row>
    <row r="1705" spans="14:15" ht="30.95" customHeight="1">
      <c r="N1705" s="552"/>
      <c r="O1705" s="552"/>
    </row>
    <row r="1706" spans="14:15" ht="30.95" customHeight="1">
      <c r="N1706" s="552"/>
      <c r="O1706" s="552"/>
    </row>
    <row r="1707" spans="14:15" ht="30.95" customHeight="1">
      <c r="N1707" s="552"/>
      <c r="O1707" s="552"/>
    </row>
    <row r="1708" spans="14:15" ht="30.95" customHeight="1">
      <c r="N1708" s="552"/>
      <c r="O1708" s="552"/>
    </row>
    <row r="1709" spans="14:15" ht="30.95" customHeight="1">
      <c r="N1709" s="552"/>
      <c r="O1709" s="552"/>
    </row>
    <row r="1710" spans="14:15" ht="30.95" customHeight="1">
      <c r="N1710" s="552"/>
      <c r="O1710" s="552"/>
    </row>
    <row r="1711" spans="14:15" ht="30.95" customHeight="1">
      <c r="N1711" s="552"/>
      <c r="O1711" s="552"/>
    </row>
    <row r="1712" spans="14:15" ht="30.95" customHeight="1">
      <c r="N1712" s="552"/>
      <c r="O1712" s="552"/>
    </row>
    <row r="1713" spans="14:15" ht="30.95" customHeight="1">
      <c r="N1713" s="552"/>
      <c r="O1713" s="552"/>
    </row>
    <row r="1714" spans="14:15" ht="30.95" customHeight="1">
      <c r="N1714" s="552"/>
      <c r="O1714" s="552"/>
    </row>
    <row r="1715" spans="14:15" ht="30.95" customHeight="1">
      <c r="N1715" s="552"/>
      <c r="O1715" s="552"/>
    </row>
    <row r="1716" spans="14:15" ht="30.95" customHeight="1">
      <c r="N1716" s="552"/>
      <c r="O1716" s="552"/>
    </row>
    <row r="1717" spans="14:15" ht="30.95" customHeight="1">
      <c r="N1717" s="552"/>
      <c r="O1717" s="552"/>
    </row>
    <row r="1718" spans="14:15" ht="30.95" customHeight="1">
      <c r="N1718" s="552"/>
      <c r="O1718" s="552"/>
    </row>
    <row r="1719" spans="14:15" ht="30.95" customHeight="1">
      <c r="N1719" s="552"/>
      <c r="O1719" s="552"/>
    </row>
    <row r="1720" spans="14:15" ht="30.95" customHeight="1">
      <c r="N1720" s="552"/>
      <c r="O1720" s="552"/>
    </row>
    <row r="1721" spans="14:15" ht="30.95" customHeight="1">
      <c r="N1721" s="552"/>
      <c r="O1721" s="552"/>
    </row>
    <row r="1722" spans="14:15" ht="30.95" customHeight="1">
      <c r="N1722" s="552"/>
      <c r="O1722" s="552"/>
    </row>
    <row r="1723" spans="14:15" ht="30.95" customHeight="1">
      <c r="N1723" s="552"/>
      <c r="O1723" s="552"/>
    </row>
    <row r="1724" spans="14:15" ht="30.95" customHeight="1">
      <c r="N1724" s="552"/>
      <c r="O1724" s="552"/>
    </row>
    <row r="1725" spans="14:15" ht="30.95" customHeight="1">
      <c r="N1725" s="552"/>
      <c r="O1725" s="552"/>
    </row>
    <row r="1726" spans="14:15" ht="30.95" customHeight="1">
      <c r="N1726" s="552"/>
      <c r="O1726" s="552"/>
    </row>
    <row r="1727" spans="14:15" ht="30.95" customHeight="1">
      <c r="N1727" s="552"/>
      <c r="O1727" s="552"/>
    </row>
    <row r="1728" spans="14:15" ht="30.95" customHeight="1">
      <c r="N1728" s="552"/>
      <c r="O1728" s="552"/>
    </row>
    <row r="1729" spans="14:15" ht="30.95" customHeight="1">
      <c r="N1729" s="552"/>
      <c r="O1729" s="552"/>
    </row>
    <row r="1730" spans="14:15" ht="30.95" customHeight="1">
      <c r="N1730" s="552"/>
      <c r="O1730" s="552"/>
    </row>
    <row r="1731" spans="14:15" ht="30.95" customHeight="1">
      <c r="N1731" s="552"/>
      <c r="O1731" s="552"/>
    </row>
    <row r="1732" spans="14:15" ht="30.95" customHeight="1">
      <c r="N1732" s="552"/>
      <c r="O1732" s="552"/>
    </row>
    <row r="1733" spans="14:15" ht="30.95" customHeight="1">
      <c r="N1733" s="552"/>
      <c r="O1733" s="552"/>
    </row>
    <row r="1734" spans="14:15" ht="30.95" customHeight="1">
      <c r="N1734" s="552"/>
      <c r="O1734" s="552"/>
    </row>
    <row r="1735" spans="14:15" ht="30.95" customHeight="1">
      <c r="N1735" s="552"/>
      <c r="O1735" s="552"/>
    </row>
    <row r="1736" spans="14:15" ht="30.95" customHeight="1">
      <c r="N1736" s="552"/>
      <c r="O1736" s="552"/>
    </row>
    <row r="1737" spans="14:15" ht="30.95" customHeight="1">
      <c r="N1737" s="552"/>
      <c r="O1737" s="552"/>
    </row>
    <row r="1738" spans="14:15" ht="30.95" customHeight="1">
      <c r="N1738" s="552"/>
      <c r="O1738" s="552"/>
    </row>
    <row r="1739" spans="14:15" ht="30.95" customHeight="1">
      <c r="N1739" s="552"/>
      <c r="O1739" s="552"/>
    </row>
    <row r="1740" spans="14:15" ht="30.95" customHeight="1">
      <c r="N1740" s="552"/>
      <c r="O1740" s="552"/>
    </row>
    <row r="1741" spans="14:15" ht="30.95" customHeight="1">
      <c r="N1741" s="552"/>
      <c r="O1741" s="552"/>
    </row>
    <row r="1742" spans="14:15" ht="30.95" customHeight="1">
      <c r="N1742" s="552"/>
      <c r="O1742" s="552"/>
    </row>
    <row r="1743" spans="14:15" ht="30.95" customHeight="1">
      <c r="N1743" s="552"/>
      <c r="O1743" s="552"/>
    </row>
    <row r="1744" spans="14:15" ht="30.95" customHeight="1">
      <c r="N1744" s="552"/>
      <c r="O1744" s="552"/>
    </row>
    <row r="1745" spans="14:15" ht="30.95" customHeight="1">
      <c r="N1745" s="552"/>
      <c r="O1745" s="552"/>
    </row>
    <row r="1746" spans="14:15" ht="30.95" customHeight="1">
      <c r="N1746" s="552"/>
      <c r="O1746" s="552"/>
    </row>
    <row r="1747" spans="14:15" ht="30.95" customHeight="1">
      <c r="N1747" s="552"/>
      <c r="O1747" s="552"/>
    </row>
    <row r="1748" spans="14:15" ht="30.95" customHeight="1">
      <c r="N1748" s="552"/>
      <c r="O1748" s="552"/>
    </row>
    <row r="1749" spans="14:15" ht="30.95" customHeight="1">
      <c r="N1749" s="552"/>
      <c r="O1749" s="552"/>
    </row>
    <row r="1750" spans="14:15" ht="30.95" customHeight="1">
      <c r="N1750" s="552"/>
      <c r="O1750" s="552"/>
    </row>
    <row r="1751" spans="14:15" ht="30.95" customHeight="1">
      <c r="N1751" s="552"/>
      <c r="O1751" s="552"/>
    </row>
    <row r="1752" spans="14:15" ht="30.95" customHeight="1">
      <c r="N1752" s="552"/>
      <c r="O1752" s="552"/>
    </row>
    <row r="1753" spans="14:15" ht="30.95" customHeight="1">
      <c r="N1753" s="552"/>
      <c r="O1753" s="552"/>
    </row>
    <row r="1754" spans="14:15" ht="30.95" customHeight="1">
      <c r="N1754" s="552"/>
      <c r="O1754" s="552"/>
    </row>
    <row r="1755" spans="14:15" ht="30.95" customHeight="1">
      <c r="N1755" s="552"/>
      <c r="O1755" s="552"/>
    </row>
    <row r="1756" spans="14:15" ht="30.95" customHeight="1">
      <c r="N1756" s="552"/>
      <c r="O1756" s="552"/>
    </row>
    <row r="1757" spans="14:15" ht="30.95" customHeight="1">
      <c r="N1757" s="552"/>
      <c r="O1757" s="552"/>
    </row>
    <row r="1758" spans="14:15" ht="30.95" customHeight="1">
      <c r="N1758" s="552"/>
      <c r="O1758" s="552"/>
    </row>
    <row r="1759" spans="14:15" ht="30.95" customHeight="1">
      <c r="N1759" s="552"/>
      <c r="O1759" s="552"/>
    </row>
    <row r="1760" spans="14:15" ht="30.95" customHeight="1">
      <c r="N1760" s="552"/>
      <c r="O1760" s="552"/>
    </row>
    <row r="1761" spans="14:15" ht="30.95" customHeight="1">
      <c r="N1761" s="552"/>
      <c r="O1761" s="552"/>
    </row>
    <row r="1762" spans="14:15" ht="30.95" customHeight="1">
      <c r="N1762" s="552"/>
      <c r="O1762" s="552"/>
    </row>
    <row r="1763" spans="14:15" ht="30.95" customHeight="1">
      <c r="N1763" s="552"/>
      <c r="O1763" s="552"/>
    </row>
    <row r="1764" spans="14:15" ht="30.95" customHeight="1">
      <c r="N1764" s="552"/>
      <c r="O1764" s="552"/>
    </row>
    <row r="1765" spans="14:15" ht="30.95" customHeight="1">
      <c r="N1765" s="552"/>
      <c r="O1765" s="552"/>
    </row>
    <row r="1766" spans="14:15" ht="30.95" customHeight="1">
      <c r="N1766" s="552"/>
      <c r="O1766" s="552"/>
    </row>
    <row r="1767" spans="14:15" ht="30.95" customHeight="1">
      <c r="N1767" s="552"/>
      <c r="O1767" s="552"/>
    </row>
    <row r="1768" spans="14:15" ht="30.95" customHeight="1">
      <c r="N1768" s="552"/>
      <c r="O1768" s="552"/>
    </row>
    <row r="1769" spans="14:15" ht="30.95" customHeight="1">
      <c r="N1769" s="552"/>
      <c r="O1769" s="552"/>
    </row>
    <row r="1770" spans="14:15" ht="30.95" customHeight="1">
      <c r="N1770" s="552"/>
      <c r="O1770" s="552"/>
    </row>
    <row r="1771" spans="14:15" ht="30.95" customHeight="1">
      <c r="N1771" s="552"/>
      <c r="O1771" s="552"/>
    </row>
    <row r="1772" spans="14:15" ht="30.95" customHeight="1">
      <c r="N1772" s="552"/>
      <c r="O1772" s="552"/>
    </row>
    <row r="1773" spans="14:15" ht="30.95" customHeight="1">
      <c r="N1773" s="552"/>
      <c r="O1773" s="552"/>
    </row>
    <row r="1774" spans="14:15" ht="30.95" customHeight="1">
      <c r="N1774" s="552"/>
      <c r="O1774" s="552"/>
    </row>
    <row r="1775" spans="14:15" ht="30.95" customHeight="1">
      <c r="N1775" s="552"/>
      <c r="O1775" s="552"/>
    </row>
    <row r="1776" spans="14:15" ht="30.95" customHeight="1">
      <c r="N1776" s="552"/>
      <c r="O1776" s="552"/>
    </row>
    <row r="1777" spans="14:15" ht="30.95" customHeight="1">
      <c r="N1777" s="552"/>
      <c r="O1777" s="552"/>
    </row>
    <row r="1778" spans="14:15" ht="30.95" customHeight="1">
      <c r="N1778" s="552"/>
      <c r="O1778" s="552"/>
    </row>
    <row r="1779" spans="14:15" ht="30.95" customHeight="1">
      <c r="N1779" s="552"/>
      <c r="O1779" s="552"/>
    </row>
    <row r="1780" spans="14:15" ht="30.95" customHeight="1">
      <c r="N1780" s="552"/>
      <c r="O1780" s="552"/>
    </row>
    <row r="1781" spans="14:15" ht="30.95" customHeight="1">
      <c r="N1781" s="552"/>
      <c r="O1781" s="552"/>
    </row>
    <row r="1782" spans="14:15" ht="30.95" customHeight="1">
      <c r="N1782" s="552"/>
      <c r="O1782" s="552"/>
    </row>
    <row r="1783" spans="14:15" ht="30.95" customHeight="1">
      <c r="N1783" s="552"/>
      <c r="O1783" s="552"/>
    </row>
    <row r="1784" spans="14:15" ht="30.95" customHeight="1">
      <c r="N1784" s="552"/>
      <c r="O1784" s="552"/>
    </row>
    <row r="1785" spans="14:15" ht="30.95" customHeight="1">
      <c r="N1785" s="552"/>
      <c r="O1785" s="552"/>
    </row>
    <row r="1786" spans="14:15" ht="30.95" customHeight="1">
      <c r="N1786" s="552"/>
      <c r="O1786" s="552"/>
    </row>
    <row r="1787" spans="14:15" ht="30.95" customHeight="1">
      <c r="N1787" s="552"/>
      <c r="O1787" s="552"/>
    </row>
    <row r="1788" spans="14:15" ht="30.95" customHeight="1">
      <c r="N1788" s="552"/>
      <c r="O1788" s="552"/>
    </row>
    <row r="1789" spans="14:15" ht="30.95" customHeight="1">
      <c r="N1789" s="552"/>
      <c r="O1789" s="552"/>
    </row>
    <row r="1790" spans="14:15" ht="30.95" customHeight="1">
      <c r="N1790" s="552"/>
      <c r="O1790" s="552"/>
    </row>
    <row r="1791" spans="14:15" ht="30.95" customHeight="1">
      <c r="N1791" s="552"/>
      <c r="O1791" s="552"/>
    </row>
    <row r="1792" spans="14:15" ht="30.95" customHeight="1">
      <c r="N1792" s="552"/>
      <c r="O1792" s="552"/>
    </row>
    <row r="1793" spans="14:15" ht="30.95" customHeight="1">
      <c r="N1793" s="552"/>
      <c r="O1793" s="552"/>
    </row>
    <row r="1794" spans="14:15" ht="30.95" customHeight="1">
      <c r="N1794" s="552"/>
      <c r="O1794" s="552"/>
    </row>
    <row r="1795" spans="14:15" ht="30.95" customHeight="1">
      <c r="N1795" s="552"/>
      <c r="O1795" s="552"/>
    </row>
    <row r="1796" spans="14:15" ht="30.95" customHeight="1">
      <c r="N1796" s="552"/>
      <c r="O1796" s="552"/>
    </row>
    <row r="1797" spans="14:15" ht="30.95" customHeight="1">
      <c r="N1797" s="552"/>
      <c r="O1797" s="552"/>
    </row>
    <row r="1798" spans="14:15" ht="30.95" customHeight="1">
      <c r="N1798" s="552"/>
      <c r="O1798" s="552"/>
    </row>
    <row r="1799" spans="14:15" ht="30.95" customHeight="1">
      <c r="N1799" s="552"/>
      <c r="O1799" s="552"/>
    </row>
    <row r="1800" spans="14:15" ht="30.95" customHeight="1">
      <c r="N1800" s="552"/>
      <c r="O1800" s="552"/>
    </row>
    <row r="1801" spans="14:15" ht="30.95" customHeight="1">
      <c r="N1801" s="552"/>
      <c r="O1801" s="552"/>
    </row>
    <row r="1802" spans="14:15" ht="30.95" customHeight="1">
      <c r="N1802" s="552"/>
      <c r="O1802" s="552"/>
    </row>
    <row r="1803" spans="14:15" ht="30.95" customHeight="1">
      <c r="N1803" s="552"/>
      <c r="O1803" s="552"/>
    </row>
    <row r="1804" spans="14:15" ht="30.95" customHeight="1">
      <c r="N1804" s="552"/>
      <c r="O1804" s="552"/>
    </row>
    <row r="1805" spans="14:15" ht="30.95" customHeight="1">
      <c r="N1805" s="552"/>
      <c r="O1805" s="552"/>
    </row>
    <row r="1806" spans="14:15" ht="30.95" customHeight="1">
      <c r="N1806" s="552"/>
      <c r="O1806" s="552"/>
    </row>
    <row r="1807" spans="14:15" ht="30.95" customHeight="1">
      <c r="N1807" s="552"/>
      <c r="O1807" s="552"/>
    </row>
    <row r="1808" spans="14:15" ht="30.95" customHeight="1">
      <c r="N1808" s="552"/>
      <c r="O1808" s="552"/>
    </row>
    <row r="1809" spans="14:15" ht="30.95" customHeight="1">
      <c r="N1809" s="552"/>
      <c r="O1809" s="552"/>
    </row>
    <row r="1810" spans="14:15" ht="30.95" customHeight="1">
      <c r="N1810" s="552"/>
      <c r="O1810" s="552"/>
    </row>
    <row r="1811" spans="14:15" ht="30.95" customHeight="1">
      <c r="N1811" s="552"/>
      <c r="O1811" s="552"/>
    </row>
    <row r="1812" spans="14:15" ht="30.95" customHeight="1">
      <c r="N1812" s="552"/>
      <c r="O1812" s="552"/>
    </row>
    <row r="1813" spans="14:15" ht="30.95" customHeight="1">
      <c r="N1813" s="552"/>
      <c r="O1813" s="552"/>
    </row>
    <row r="1814" spans="14:15" ht="30.95" customHeight="1">
      <c r="N1814" s="552"/>
      <c r="O1814" s="552"/>
    </row>
    <row r="1815" spans="14:15" ht="30.95" customHeight="1">
      <c r="N1815" s="552"/>
      <c r="O1815" s="552"/>
    </row>
    <row r="1816" spans="14:15" ht="30.95" customHeight="1">
      <c r="N1816" s="552"/>
      <c r="O1816" s="552"/>
    </row>
    <row r="1817" spans="14:15" ht="30.95" customHeight="1">
      <c r="N1817" s="552"/>
      <c r="O1817" s="552"/>
    </row>
    <row r="1818" spans="14:15" ht="30.95" customHeight="1">
      <c r="N1818" s="552"/>
      <c r="O1818" s="552"/>
    </row>
    <row r="1819" spans="14:15" ht="30.95" customHeight="1">
      <c r="N1819" s="552"/>
      <c r="O1819" s="552"/>
    </row>
    <row r="1820" spans="14:15" ht="30.95" customHeight="1">
      <c r="N1820" s="552"/>
      <c r="O1820" s="552"/>
    </row>
    <row r="1821" spans="14:15" ht="30.95" customHeight="1">
      <c r="N1821" s="552"/>
      <c r="O1821" s="552"/>
    </row>
    <row r="1822" spans="14:15" ht="30.95" customHeight="1">
      <c r="N1822" s="552"/>
      <c r="O1822" s="552"/>
    </row>
    <row r="1823" spans="14:15" ht="30.95" customHeight="1">
      <c r="N1823" s="552"/>
      <c r="O1823" s="552"/>
    </row>
    <row r="1824" spans="14:15" ht="30.95" customHeight="1">
      <c r="N1824" s="552"/>
      <c r="O1824" s="552"/>
    </row>
    <row r="1825" spans="14:15" ht="30.95" customHeight="1">
      <c r="N1825" s="552"/>
      <c r="O1825" s="552"/>
    </row>
    <row r="1826" spans="14:15" ht="30.95" customHeight="1">
      <c r="N1826" s="552"/>
      <c r="O1826" s="552"/>
    </row>
    <row r="1827" spans="14:15" ht="30.95" customHeight="1">
      <c r="N1827" s="552"/>
      <c r="O1827" s="552"/>
    </row>
    <row r="1828" spans="14:15" ht="30.95" customHeight="1">
      <c r="N1828" s="552"/>
      <c r="O1828" s="552"/>
    </row>
    <row r="1829" spans="14:15" ht="30.95" customHeight="1">
      <c r="N1829" s="552"/>
      <c r="O1829" s="552"/>
    </row>
    <row r="1830" spans="14:15" ht="30.95" customHeight="1">
      <c r="N1830" s="552"/>
      <c r="O1830" s="552"/>
    </row>
    <row r="1831" spans="14:15" ht="30.95" customHeight="1">
      <c r="N1831" s="552"/>
      <c r="O1831" s="552"/>
    </row>
    <row r="1832" spans="14:15" ht="30.95" customHeight="1">
      <c r="N1832" s="552"/>
      <c r="O1832" s="552"/>
    </row>
    <row r="1833" spans="14:15" ht="30.95" customHeight="1">
      <c r="N1833" s="552"/>
      <c r="O1833" s="552"/>
    </row>
    <row r="1834" spans="14:15" ht="30.95" customHeight="1">
      <c r="N1834" s="552"/>
      <c r="O1834" s="552"/>
    </row>
    <row r="1835" spans="14:15" ht="30.95" customHeight="1">
      <c r="N1835" s="552"/>
      <c r="O1835" s="552"/>
    </row>
    <row r="1836" spans="14:15" ht="30.95" customHeight="1">
      <c r="N1836" s="552"/>
      <c r="O1836" s="552"/>
    </row>
    <row r="1837" spans="14:15" ht="30.95" customHeight="1">
      <c r="N1837" s="552"/>
      <c r="O1837" s="552"/>
    </row>
    <row r="1838" spans="14:15" ht="30.95" customHeight="1">
      <c r="N1838" s="552"/>
      <c r="O1838" s="552"/>
    </row>
    <row r="1839" spans="14:15" ht="30.95" customHeight="1">
      <c r="N1839" s="552"/>
      <c r="O1839" s="552"/>
    </row>
    <row r="1840" spans="14:15" ht="30.95" customHeight="1">
      <c r="N1840" s="552"/>
      <c r="O1840" s="552"/>
    </row>
    <row r="1841" spans="14:15" ht="30.95" customHeight="1">
      <c r="N1841" s="552"/>
      <c r="O1841" s="552"/>
    </row>
    <row r="1842" spans="14:15" ht="30.95" customHeight="1">
      <c r="N1842" s="552"/>
      <c r="O1842" s="552"/>
    </row>
    <row r="1843" spans="14:15" ht="30.95" customHeight="1">
      <c r="N1843" s="552"/>
      <c r="O1843" s="552"/>
    </row>
    <row r="1844" spans="14:15" ht="30.95" customHeight="1">
      <c r="N1844" s="552"/>
      <c r="O1844" s="552"/>
    </row>
    <row r="1845" spans="14:15" ht="30.95" customHeight="1">
      <c r="N1845" s="552"/>
      <c r="O1845" s="552"/>
    </row>
    <row r="1846" spans="14:15" ht="30.95" customHeight="1">
      <c r="N1846" s="552"/>
      <c r="O1846" s="552"/>
    </row>
    <row r="1847" spans="14:15" ht="30.95" customHeight="1">
      <c r="N1847" s="552"/>
      <c r="O1847" s="552"/>
    </row>
    <row r="1848" spans="14:15" ht="30.95" customHeight="1">
      <c r="N1848" s="552"/>
      <c r="O1848" s="552"/>
    </row>
    <row r="1849" spans="14:15" ht="30.95" customHeight="1">
      <c r="N1849" s="552"/>
      <c r="O1849" s="552"/>
    </row>
    <row r="1850" spans="14:15" ht="30.95" customHeight="1">
      <c r="N1850" s="552"/>
      <c r="O1850" s="552"/>
    </row>
    <row r="1851" spans="14:15" ht="30.95" customHeight="1">
      <c r="N1851" s="552"/>
      <c r="O1851" s="552"/>
    </row>
    <row r="1852" spans="14:15" ht="30.95" customHeight="1">
      <c r="N1852" s="552"/>
      <c r="O1852" s="552"/>
    </row>
    <row r="1853" spans="14:15" ht="30.95" customHeight="1">
      <c r="N1853" s="552"/>
      <c r="O1853" s="552"/>
    </row>
    <row r="1854" spans="14:15" ht="30.95" customHeight="1">
      <c r="N1854" s="552"/>
      <c r="O1854" s="552"/>
    </row>
    <row r="1855" spans="14:15" ht="30.95" customHeight="1">
      <c r="N1855" s="552"/>
      <c r="O1855" s="552"/>
    </row>
    <row r="1856" spans="14:15" ht="30.95" customHeight="1">
      <c r="N1856" s="552"/>
      <c r="O1856" s="552"/>
    </row>
    <row r="1857" spans="14:15" ht="30.95" customHeight="1">
      <c r="N1857" s="552"/>
      <c r="O1857" s="552"/>
    </row>
    <row r="1858" spans="14:15" ht="30.95" customHeight="1">
      <c r="N1858" s="552"/>
      <c r="O1858" s="552"/>
    </row>
    <row r="1859" spans="14:15" ht="30.95" customHeight="1">
      <c r="N1859" s="552"/>
      <c r="O1859" s="552"/>
    </row>
    <row r="1860" spans="14:15" ht="30.95" customHeight="1">
      <c r="N1860" s="552"/>
      <c r="O1860" s="552"/>
    </row>
    <row r="1861" spans="14:15" ht="30.95" customHeight="1">
      <c r="N1861" s="552"/>
      <c r="O1861" s="552"/>
    </row>
    <row r="1862" spans="14:15" ht="30.95" customHeight="1">
      <c r="N1862" s="552"/>
      <c r="O1862" s="552"/>
    </row>
    <row r="1863" spans="14:15" ht="30.95" customHeight="1">
      <c r="N1863" s="552"/>
      <c r="O1863" s="552"/>
    </row>
    <row r="1864" spans="14:15" ht="30.95" customHeight="1">
      <c r="N1864" s="552"/>
      <c r="O1864" s="552"/>
    </row>
    <row r="1865" spans="14:15" ht="30.95" customHeight="1">
      <c r="N1865" s="552"/>
      <c r="O1865" s="552"/>
    </row>
    <row r="1866" spans="14:15" ht="30.95" customHeight="1">
      <c r="N1866" s="552"/>
      <c r="O1866" s="552"/>
    </row>
    <row r="1867" spans="14:15" ht="30.95" customHeight="1">
      <c r="N1867" s="552"/>
      <c r="O1867" s="552"/>
    </row>
    <row r="1868" spans="14:15" ht="30.95" customHeight="1">
      <c r="N1868" s="552"/>
      <c r="O1868" s="552"/>
    </row>
    <row r="1869" spans="14:15" ht="30.95" customHeight="1">
      <c r="N1869" s="552"/>
      <c r="O1869" s="552"/>
    </row>
    <row r="1870" spans="14:15" ht="30.95" customHeight="1">
      <c r="N1870" s="552"/>
      <c r="O1870" s="552"/>
    </row>
    <row r="1871" spans="14:15" ht="30.95" customHeight="1">
      <c r="N1871" s="552"/>
      <c r="O1871" s="552"/>
    </row>
    <row r="1872" spans="14:15" ht="30.95" customHeight="1">
      <c r="N1872" s="552"/>
      <c r="O1872" s="552"/>
    </row>
    <row r="1873" spans="14:15" ht="30.95" customHeight="1">
      <c r="N1873" s="552"/>
      <c r="O1873" s="552"/>
    </row>
    <row r="1874" spans="14:15" ht="30.95" customHeight="1">
      <c r="N1874" s="552"/>
      <c r="O1874" s="552"/>
    </row>
    <row r="1875" spans="14:15" ht="30.95" customHeight="1">
      <c r="N1875" s="552"/>
      <c r="O1875" s="552"/>
    </row>
    <row r="1876" spans="14:15" ht="30.95" customHeight="1">
      <c r="N1876" s="552"/>
      <c r="O1876" s="552"/>
    </row>
    <row r="1877" spans="14:15" ht="30.95" customHeight="1">
      <c r="N1877" s="552"/>
      <c r="O1877" s="552"/>
    </row>
    <row r="1878" spans="14:15" ht="30.95" customHeight="1">
      <c r="N1878" s="552"/>
      <c r="O1878" s="552"/>
    </row>
    <row r="1879" spans="14:15" ht="30.95" customHeight="1">
      <c r="N1879" s="552"/>
      <c r="O1879" s="552"/>
    </row>
    <row r="1880" spans="14:15" ht="30.95" customHeight="1">
      <c r="N1880" s="552"/>
      <c r="O1880" s="552"/>
    </row>
    <row r="1881" spans="14:15" ht="30.95" customHeight="1">
      <c r="N1881" s="552"/>
      <c r="O1881" s="552"/>
    </row>
    <row r="1882" spans="14:15" ht="30.95" customHeight="1">
      <c r="N1882" s="552"/>
      <c r="O1882" s="552"/>
    </row>
    <row r="1883" spans="14:15" ht="30.95" customHeight="1">
      <c r="N1883" s="552"/>
      <c r="O1883" s="552"/>
    </row>
    <row r="1884" spans="14:15" ht="30.95" customHeight="1">
      <c r="N1884" s="552"/>
      <c r="O1884" s="552"/>
    </row>
    <row r="1885" spans="14:15" ht="30.95" customHeight="1">
      <c r="N1885" s="552"/>
      <c r="O1885" s="552"/>
    </row>
    <row r="1886" spans="14:15" ht="30.95" customHeight="1">
      <c r="N1886" s="552"/>
      <c r="O1886" s="552"/>
    </row>
    <row r="1887" spans="14:15" ht="30.95" customHeight="1">
      <c r="N1887" s="552"/>
      <c r="O1887" s="552"/>
    </row>
    <row r="1888" spans="14:15" ht="30.95" customHeight="1">
      <c r="N1888" s="552"/>
      <c r="O1888" s="552"/>
    </row>
    <row r="1889" spans="14:15" ht="30.95" customHeight="1">
      <c r="N1889" s="552"/>
      <c r="O1889" s="552"/>
    </row>
    <row r="1890" spans="14:15" ht="30.95" customHeight="1">
      <c r="N1890" s="552"/>
      <c r="O1890" s="552"/>
    </row>
    <row r="1891" spans="14:15" ht="30.95" customHeight="1">
      <c r="N1891" s="552"/>
      <c r="O1891" s="552"/>
    </row>
    <row r="1892" spans="14:15" ht="30.95" customHeight="1">
      <c r="N1892" s="552"/>
      <c r="O1892" s="552"/>
    </row>
    <row r="1893" spans="14:15" ht="30.95" customHeight="1">
      <c r="N1893" s="552"/>
      <c r="O1893" s="552"/>
    </row>
    <row r="1894" spans="14:15" ht="30.95" customHeight="1">
      <c r="N1894" s="552"/>
      <c r="O1894" s="552"/>
    </row>
    <row r="1895" spans="14:15" ht="30.95" customHeight="1">
      <c r="N1895" s="552"/>
      <c r="O1895" s="552"/>
    </row>
    <row r="1896" spans="14:15" ht="30.95" customHeight="1">
      <c r="N1896" s="552"/>
      <c r="O1896" s="552"/>
    </row>
    <row r="1897" spans="14:15" ht="30.95" customHeight="1">
      <c r="N1897" s="552"/>
      <c r="O1897" s="552"/>
    </row>
    <row r="1898" spans="14:15" ht="30.95" customHeight="1">
      <c r="N1898" s="552"/>
      <c r="O1898" s="552"/>
    </row>
    <row r="1899" spans="14:15" ht="30.95" customHeight="1">
      <c r="N1899" s="552"/>
      <c r="O1899" s="552"/>
    </row>
    <row r="1900" spans="14:15" ht="30.95" customHeight="1">
      <c r="N1900" s="552"/>
      <c r="O1900" s="552"/>
    </row>
    <row r="1901" spans="14:15" ht="30.95" customHeight="1">
      <c r="N1901" s="552"/>
      <c r="O1901" s="552"/>
    </row>
    <row r="1902" spans="14:15" ht="30.95" customHeight="1">
      <c r="N1902" s="552"/>
      <c r="O1902" s="552"/>
    </row>
    <row r="1903" spans="14:15" ht="30.95" customHeight="1">
      <c r="N1903" s="552"/>
      <c r="O1903" s="552"/>
    </row>
    <row r="1904" spans="14:15" ht="30.95" customHeight="1">
      <c r="N1904" s="552"/>
      <c r="O1904" s="552"/>
    </row>
    <row r="1905" spans="14:15" ht="30.95" customHeight="1">
      <c r="N1905" s="552"/>
      <c r="O1905" s="552"/>
    </row>
    <row r="1906" spans="14:15" ht="30.95" customHeight="1">
      <c r="N1906" s="552"/>
      <c r="O1906" s="552"/>
    </row>
    <row r="1907" spans="14:15" ht="30.95" customHeight="1">
      <c r="N1907" s="552"/>
      <c r="O1907" s="552"/>
    </row>
    <row r="1908" spans="14:15" ht="30.95" customHeight="1">
      <c r="N1908" s="552"/>
      <c r="O1908" s="552"/>
    </row>
    <row r="1909" spans="14:15" ht="30.95" customHeight="1">
      <c r="N1909" s="552"/>
      <c r="O1909" s="552"/>
    </row>
    <row r="1910" spans="14:15" ht="30.95" customHeight="1">
      <c r="N1910" s="552"/>
      <c r="O1910" s="552"/>
    </row>
    <row r="1911" spans="14:15" ht="30.95" customHeight="1">
      <c r="N1911" s="552"/>
      <c r="O1911" s="552"/>
    </row>
    <row r="1912" spans="14:15" ht="30.95" customHeight="1">
      <c r="N1912" s="552"/>
      <c r="O1912" s="552"/>
    </row>
    <row r="1913" spans="14:15" ht="30.95" customHeight="1">
      <c r="N1913" s="552"/>
      <c r="O1913" s="552"/>
    </row>
    <row r="1914" spans="14:15" ht="30.95" customHeight="1">
      <c r="N1914" s="552"/>
      <c r="O1914" s="552"/>
    </row>
    <row r="1915" spans="14:15" ht="30.95" customHeight="1">
      <c r="N1915" s="552"/>
      <c r="O1915" s="552"/>
    </row>
    <row r="1916" spans="14:15" ht="30.95" customHeight="1">
      <c r="N1916" s="552"/>
      <c r="O1916" s="552"/>
    </row>
    <row r="1917" spans="14:15" ht="30.95" customHeight="1">
      <c r="N1917" s="552"/>
      <c r="O1917" s="552"/>
    </row>
    <row r="1918" spans="14:15" ht="30.95" customHeight="1">
      <c r="N1918" s="552"/>
      <c r="O1918" s="552"/>
    </row>
    <row r="1919" spans="14:15" ht="30.95" customHeight="1">
      <c r="N1919" s="552"/>
      <c r="O1919" s="552"/>
    </row>
    <row r="1920" spans="14:15" ht="30.95" customHeight="1">
      <c r="N1920" s="552"/>
      <c r="O1920" s="552"/>
    </row>
    <row r="1921" spans="14:15" ht="30.95" customHeight="1">
      <c r="N1921" s="552"/>
      <c r="O1921" s="552"/>
    </row>
    <row r="1922" spans="14:15" ht="30.95" customHeight="1">
      <c r="N1922" s="552"/>
      <c r="O1922" s="552"/>
    </row>
    <row r="1923" spans="14:15" ht="30.95" customHeight="1">
      <c r="N1923" s="552"/>
      <c r="O1923" s="552"/>
    </row>
    <row r="1924" spans="14:15" ht="30.95" customHeight="1">
      <c r="N1924" s="552"/>
      <c r="O1924" s="552"/>
    </row>
    <row r="1925" spans="14:15" ht="30.95" customHeight="1">
      <c r="N1925" s="552"/>
      <c r="O1925" s="552"/>
    </row>
    <row r="1926" spans="14:15" ht="30.95" customHeight="1">
      <c r="N1926" s="552"/>
      <c r="O1926" s="552"/>
    </row>
    <row r="1927" spans="14:15" ht="30.95" customHeight="1">
      <c r="N1927" s="552"/>
      <c r="O1927" s="552"/>
    </row>
    <row r="1928" spans="14:15" ht="30.95" customHeight="1">
      <c r="N1928" s="552"/>
      <c r="O1928" s="552"/>
    </row>
    <row r="1929" spans="14:15" ht="30.95" customHeight="1">
      <c r="N1929" s="552"/>
      <c r="O1929" s="552"/>
    </row>
    <row r="1930" spans="14:15" ht="30.95" customHeight="1">
      <c r="N1930" s="552"/>
      <c r="O1930" s="552"/>
    </row>
    <row r="1931" spans="14:15" ht="30.95" customHeight="1">
      <c r="N1931" s="552"/>
      <c r="O1931" s="552"/>
    </row>
    <row r="1932" spans="14:15" ht="30.95" customHeight="1">
      <c r="N1932" s="552"/>
      <c r="O1932" s="552"/>
    </row>
    <row r="1933" spans="14:15" ht="30.95" customHeight="1">
      <c r="N1933" s="552"/>
      <c r="O1933" s="552"/>
    </row>
    <row r="1934" spans="14:15" ht="30.95" customHeight="1">
      <c r="N1934" s="552"/>
      <c r="O1934" s="552"/>
    </row>
    <row r="1935" spans="14:15" ht="30.95" customHeight="1">
      <c r="N1935" s="552"/>
      <c r="O1935" s="552"/>
    </row>
    <row r="1936" spans="14:15" ht="30.95" customHeight="1">
      <c r="N1936" s="552"/>
      <c r="O1936" s="552"/>
    </row>
    <row r="1937" spans="14:15" ht="30.95" customHeight="1">
      <c r="N1937" s="552"/>
      <c r="O1937" s="552"/>
    </row>
    <row r="1938" spans="14:15" ht="30.95" customHeight="1">
      <c r="N1938" s="552"/>
      <c r="O1938" s="552"/>
    </row>
    <row r="1939" spans="14:15" ht="30.95" customHeight="1">
      <c r="N1939" s="552"/>
      <c r="O1939" s="552"/>
    </row>
    <row r="1940" spans="14:15" ht="30.95" customHeight="1">
      <c r="N1940" s="552"/>
      <c r="O1940" s="552"/>
    </row>
    <row r="1941" spans="14:15" ht="30.95" customHeight="1">
      <c r="N1941" s="552"/>
      <c r="O1941" s="552"/>
    </row>
    <row r="1942" spans="14:15" ht="30.95" customHeight="1">
      <c r="N1942" s="552"/>
      <c r="O1942" s="552"/>
    </row>
    <row r="1943" spans="14:15" ht="30.95" customHeight="1">
      <c r="N1943" s="552"/>
      <c r="O1943" s="552"/>
    </row>
    <row r="1944" spans="14:15" ht="30.95" customHeight="1">
      <c r="N1944" s="552"/>
      <c r="O1944" s="552"/>
    </row>
    <row r="1945" spans="14:15" ht="30.95" customHeight="1">
      <c r="N1945" s="552"/>
      <c r="O1945" s="552"/>
    </row>
    <row r="1946" spans="14:15" ht="30.95" customHeight="1">
      <c r="N1946" s="552"/>
      <c r="O1946" s="552"/>
    </row>
    <row r="1947" spans="14:15" ht="30.95" customHeight="1">
      <c r="N1947" s="552"/>
      <c r="O1947" s="552"/>
    </row>
    <row r="1948" spans="14:15" ht="30.95" customHeight="1">
      <c r="N1948" s="552"/>
      <c r="O1948" s="552"/>
    </row>
    <row r="1949" spans="14:15" ht="30.95" customHeight="1">
      <c r="N1949" s="552"/>
      <c r="O1949" s="552"/>
    </row>
    <row r="1950" spans="14:15" ht="30.95" customHeight="1">
      <c r="N1950" s="552"/>
      <c r="O1950" s="552"/>
    </row>
    <row r="1951" spans="14:15" ht="30.95" customHeight="1">
      <c r="N1951" s="552"/>
      <c r="O1951" s="552"/>
    </row>
    <row r="1952" spans="14:15" ht="30.95" customHeight="1">
      <c r="N1952" s="552"/>
      <c r="O1952" s="552"/>
    </row>
    <row r="1953" spans="14:15" ht="30.95" customHeight="1">
      <c r="N1953" s="552"/>
      <c r="O1953" s="552"/>
    </row>
    <row r="1954" spans="14:15" ht="30.95" customHeight="1">
      <c r="N1954" s="552"/>
      <c r="O1954" s="552"/>
    </row>
    <row r="1955" spans="14:15" ht="30.95" customHeight="1">
      <c r="N1955" s="552"/>
      <c r="O1955" s="552"/>
    </row>
    <row r="1956" spans="14:15" ht="30.95" customHeight="1">
      <c r="N1956" s="552"/>
      <c r="O1956" s="552"/>
    </row>
    <row r="1957" spans="14:15" ht="30.95" customHeight="1">
      <c r="N1957" s="552"/>
      <c r="O1957" s="552"/>
    </row>
    <row r="1958" spans="14:15" ht="30.95" customHeight="1">
      <c r="N1958" s="552"/>
      <c r="O1958" s="552"/>
    </row>
    <row r="1959" spans="14:15" ht="30.95" customHeight="1">
      <c r="N1959" s="552"/>
      <c r="O1959" s="552"/>
    </row>
    <row r="1960" spans="14:15" ht="30.95" customHeight="1">
      <c r="N1960" s="552"/>
      <c r="O1960" s="552"/>
    </row>
    <row r="1961" spans="14:15" ht="30.95" customHeight="1">
      <c r="N1961" s="552"/>
      <c r="O1961" s="552"/>
    </row>
    <row r="1962" spans="14:15" ht="30.95" customHeight="1">
      <c r="N1962" s="552"/>
      <c r="O1962" s="552"/>
    </row>
    <row r="1963" spans="14:15" ht="30.95" customHeight="1">
      <c r="N1963" s="552"/>
      <c r="O1963" s="552"/>
    </row>
    <row r="1964" spans="14:15" ht="30.95" customHeight="1">
      <c r="N1964" s="552"/>
      <c r="O1964" s="552"/>
    </row>
    <row r="1965" spans="14:15" ht="30.95" customHeight="1">
      <c r="N1965" s="552"/>
      <c r="O1965" s="552"/>
    </row>
    <row r="1966" spans="14:15" ht="30.95" customHeight="1">
      <c r="N1966" s="552"/>
      <c r="O1966" s="552"/>
    </row>
    <row r="1967" spans="14:15" ht="30.95" customHeight="1">
      <c r="N1967" s="552"/>
      <c r="O1967" s="552"/>
    </row>
    <row r="1968" spans="14:15" ht="30.95" customHeight="1">
      <c r="N1968" s="552"/>
      <c r="O1968" s="552"/>
    </row>
    <row r="1969" spans="14:15" ht="30.95" customHeight="1">
      <c r="N1969" s="552"/>
      <c r="O1969" s="552"/>
    </row>
    <row r="1970" spans="14:15" ht="30.95" customHeight="1">
      <c r="N1970" s="552"/>
      <c r="O1970" s="552"/>
    </row>
    <row r="1971" spans="14:15" ht="30.95" customHeight="1">
      <c r="N1971" s="552"/>
      <c r="O1971" s="552"/>
    </row>
    <row r="1972" spans="14:15" ht="30.95" customHeight="1">
      <c r="N1972" s="552"/>
      <c r="O1972" s="552"/>
    </row>
    <row r="1973" spans="14:15" ht="30.95" customHeight="1">
      <c r="N1973" s="552"/>
      <c r="O1973" s="552"/>
    </row>
    <row r="1974" spans="14:15" ht="30.95" customHeight="1">
      <c r="N1974" s="552"/>
      <c r="O1974" s="552"/>
    </row>
    <row r="1975" spans="14:15" ht="30.95" customHeight="1">
      <c r="N1975" s="552"/>
      <c r="O1975" s="552"/>
    </row>
    <row r="1976" spans="14:15" ht="30.95" customHeight="1">
      <c r="N1976" s="552"/>
      <c r="O1976" s="552"/>
    </row>
    <row r="1977" spans="14:15" ht="30.95" customHeight="1">
      <c r="N1977" s="552"/>
      <c r="O1977" s="552"/>
    </row>
    <row r="1978" spans="14:15" ht="30.95" customHeight="1">
      <c r="N1978" s="552"/>
      <c r="O1978" s="552"/>
    </row>
    <row r="1979" spans="14:15" ht="30.95" customHeight="1">
      <c r="N1979" s="552"/>
      <c r="O1979" s="552"/>
    </row>
    <row r="1980" spans="14:15" ht="30.95" customHeight="1">
      <c r="N1980" s="552"/>
      <c r="O1980" s="552"/>
    </row>
    <row r="1981" spans="14:15" ht="30.95" customHeight="1">
      <c r="N1981" s="552"/>
      <c r="O1981" s="552"/>
    </row>
    <row r="1982" spans="14:15" ht="30.95" customHeight="1">
      <c r="N1982" s="552"/>
      <c r="O1982" s="552"/>
    </row>
    <row r="1983" spans="14:15" ht="30.95" customHeight="1">
      <c r="N1983" s="552"/>
      <c r="O1983" s="552"/>
    </row>
    <row r="1984" spans="14:15" ht="30.95" customHeight="1">
      <c r="N1984" s="552"/>
      <c r="O1984" s="552"/>
    </row>
    <row r="1985" spans="14:15" ht="30.95" customHeight="1">
      <c r="N1985" s="552"/>
      <c r="O1985" s="552"/>
    </row>
    <row r="1986" spans="14:15" ht="30.95" customHeight="1">
      <c r="N1986" s="552"/>
      <c r="O1986" s="552"/>
    </row>
    <row r="1987" spans="14:15" ht="30.95" customHeight="1">
      <c r="N1987" s="552"/>
      <c r="O1987" s="552"/>
    </row>
    <row r="1988" spans="14:15" ht="30.95" customHeight="1">
      <c r="N1988" s="552"/>
      <c r="O1988" s="552"/>
    </row>
    <row r="1989" spans="14:15" ht="30.95" customHeight="1">
      <c r="N1989" s="552"/>
      <c r="O1989" s="552"/>
    </row>
    <row r="1990" spans="14:15" ht="30.95" customHeight="1">
      <c r="N1990" s="552"/>
      <c r="O1990" s="552"/>
    </row>
    <row r="1991" spans="14:15" ht="30.95" customHeight="1">
      <c r="N1991" s="552"/>
      <c r="O1991" s="552"/>
    </row>
    <row r="1992" spans="14:15" ht="30.95" customHeight="1">
      <c r="N1992" s="552"/>
      <c r="O1992" s="552"/>
    </row>
    <row r="1993" spans="14:15" ht="30.95" customHeight="1">
      <c r="N1993" s="552"/>
      <c r="O1993" s="552"/>
    </row>
    <row r="1994" spans="14:15" ht="30.95" customHeight="1">
      <c r="N1994" s="552"/>
      <c r="O1994" s="552"/>
    </row>
    <row r="1995" spans="14:15" ht="30.95" customHeight="1">
      <c r="N1995" s="552"/>
      <c r="O1995" s="552"/>
    </row>
    <row r="1996" spans="14:15" ht="30.95" customHeight="1">
      <c r="N1996" s="552"/>
      <c r="O1996" s="552"/>
    </row>
    <row r="1997" spans="14:15" ht="30.95" customHeight="1">
      <c r="N1997" s="552"/>
      <c r="O1997" s="552"/>
    </row>
    <row r="1998" spans="14:15" ht="30.95" customHeight="1">
      <c r="N1998" s="552"/>
      <c r="O1998" s="552"/>
    </row>
    <row r="1999" spans="14:15" ht="30.95" customHeight="1">
      <c r="N1999" s="552"/>
      <c r="O1999" s="552"/>
    </row>
    <row r="2000" spans="14:15" ht="30.95" customHeight="1">
      <c r="N2000" s="552"/>
      <c r="O2000" s="552"/>
    </row>
    <row r="2001" spans="14:15" ht="30.95" customHeight="1">
      <c r="N2001" s="552"/>
      <c r="O2001" s="552"/>
    </row>
    <row r="2002" spans="14:15" ht="30.95" customHeight="1">
      <c r="N2002" s="552"/>
      <c r="O2002" s="552"/>
    </row>
    <row r="2003" spans="14:15" ht="30.95" customHeight="1">
      <c r="N2003" s="552"/>
      <c r="O2003" s="552"/>
    </row>
    <row r="2004" spans="14:15" ht="30.95" customHeight="1">
      <c r="N2004" s="552"/>
      <c r="O2004" s="552"/>
    </row>
    <row r="2005" spans="14:15" ht="30.95" customHeight="1">
      <c r="N2005" s="552"/>
      <c r="O2005" s="552"/>
    </row>
    <row r="2006" spans="14:15" ht="30.95" customHeight="1">
      <c r="N2006" s="552"/>
      <c r="O2006" s="552"/>
    </row>
    <row r="2007" spans="14:15" ht="30.95" customHeight="1">
      <c r="N2007" s="552"/>
      <c r="O2007" s="552"/>
    </row>
    <row r="2008" spans="14:15" ht="30.95" customHeight="1">
      <c r="N2008" s="552"/>
      <c r="O2008" s="552"/>
    </row>
    <row r="2009" spans="14:15" ht="30.95" customHeight="1">
      <c r="N2009" s="552"/>
      <c r="O2009" s="552"/>
    </row>
    <row r="2010" spans="14:15" ht="30.95" customHeight="1">
      <c r="N2010" s="552"/>
      <c r="O2010" s="552"/>
    </row>
    <row r="2011" spans="14:15" ht="30.95" customHeight="1">
      <c r="N2011" s="552"/>
      <c r="O2011" s="552"/>
    </row>
    <row r="2012" spans="14:15" ht="30.95" customHeight="1">
      <c r="N2012" s="552"/>
      <c r="O2012" s="552"/>
    </row>
    <row r="2013" spans="14:15" ht="30.95" customHeight="1">
      <c r="N2013" s="552"/>
      <c r="O2013" s="552"/>
    </row>
    <row r="2014" spans="14:15" ht="30.95" customHeight="1">
      <c r="N2014" s="552"/>
      <c r="O2014" s="552"/>
    </row>
    <row r="2015" spans="14:15" ht="30.95" customHeight="1">
      <c r="N2015" s="552"/>
      <c r="O2015" s="552"/>
    </row>
    <row r="2016" spans="14:15" ht="30.95" customHeight="1">
      <c r="N2016" s="552"/>
      <c r="O2016" s="552"/>
    </row>
    <row r="2017" spans="14:15" ht="30.95" customHeight="1">
      <c r="N2017" s="552"/>
      <c r="O2017" s="552"/>
    </row>
    <row r="2018" spans="14:15" ht="30.95" customHeight="1">
      <c r="N2018" s="552"/>
      <c r="O2018" s="552"/>
    </row>
    <row r="2019" spans="14:15" ht="30.95" customHeight="1">
      <c r="N2019" s="552"/>
      <c r="O2019" s="552"/>
    </row>
    <row r="2020" spans="14:15" ht="30.95" customHeight="1">
      <c r="N2020" s="552"/>
      <c r="O2020" s="552"/>
    </row>
    <row r="2021" spans="14:15" ht="30.95" customHeight="1">
      <c r="N2021" s="552"/>
      <c r="O2021" s="552"/>
    </row>
    <row r="2022" spans="14:15" ht="30.95" customHeight="1">
      <c r="N2022" s="552"/>
      <c r="O2022" s="552"/>
    </row>
    <row r="2023" spans="14:15" ht="30.95" customHeight="1">
      <c r="N2023" s="552"/>
      <c r="O2023" s="552"/>
    </row>
    <row r="2024" spans="14:15" ht="30.95" customHeight="1">
      <c r="N2024" s="552"/>
      <c r="O2024" s="552"/>
    </row>
    <row r="2025" spans="14:15" ht="30.95" customHeight="1">
      <c r="N2025" s="552"/>
      <c r="O2025" s="552"/>
    </row>
    <row r="2026" spans="14:15" ht="30.95" customHeight="1">
      <c r="N2026" s="552"/>
      <c r="O2026" s="552"/>
    </row>
    <row r="2027" spans="14:15" ht="30.95" customHeight="1">
      <c r="N2027" s="552"/>
      <c r="O2027" s="552"/>
    </row>
    <row r="2028" spans="14:15" ht="30.95" customHeight="1">
      <c r="N2028" s="552"/>
      <c r="O2028" s="552"/>
    </row>
    <row r="2029" spans="14:15" ht="30.95" customHeight="1">
      <c r="N2029" s="552"/>
      <c r="O2029" s="552"/>
    </row>
    <row r="2030" spans="14:15" ht="30.95" customHeight="1">
      <c r="N2030" s="552"/>
      <c r="O2030" s="552"/>
    </row>
    <row r="2031" spans="14:15" ht="30.95" customHeight="1">
      <c r="N2031" s="552"/>
      <c r="O2031" s="552"/>
    </row>
    <row r="2032" spans="14:15" ht="30.95" customHeight="1">
      <c r="N2032" s="552"/>
      <c r="O2032" s="552"/>
    </row>
    <row r="2033" spans="14:15" ht="30.95" customHeight="1">
      <c r="N2033" s="552"/>
      <c r="O2033" s="552"/>
    </row>
    <row r="2034" spans="14:15" ht="30.95" customHeight="1">
      <c r="N2034" s="552"/>
      <c r="O2034" s="552"/>
    </row>
    <row r="2035" spans="14:15" ht="30.95" customHeight="1">
      <c r="N2035" s="552"/>
      <c r="O2035" s="552"/>
    </row>
    <row r="2036" spans="14:15" ht="30.95" customHeight="1">
      <c r="N2036" s="552"/>
      <c r="O2036" s="552"/>
    </row>
    <row r="2037" spans="14:15" ht="30.95" customHeight="1">
      <c r="N2037" s="552"/>
      <c r="O2037" s="552"/>
    </row>
    <row r="2038" spans="14:15" ht="30.95" customHeight="1">
      <c r="N2038" s="552"/>
      <c r="O2038" s="552"/>
    </row>
    <row r="2039" spans="14:15" ht="30.95" customHeight="1">
      <c r="N2039" s="552"/>
      <c r="O2039" s="552"/>
    </row>
    <row r="2040" spans="14:15" ht="30.95" customHeight="1">
      <c r="N2040" s="552"/>
      <c r="O2040" s="552"/>
    </row>
    <row r="2041" spans="14:15" ht="30.95" customHeight="1">
      <c r="N2041" s="552"/>
      <c r="O2041" s="552"/>
    </row>
    <row r="2042" spans="14:15" ht="30.95" customHeight="1">
      <c r="N2042" s="552"/>
      <c r="O2042" s="552"/>
    </row>
    <row r="2043" spans="14:15" ht="30.95" customHeight="1">
      <c r="N2043" s="552"/>
      <c r="O2043" s="552"/>
    </row>
    <row r="2044" spans="14:15" ht="30.95" customHeight="1">
      <c r="N2044" s="552"/>
      <c r="O2044" s="552"/>
    </row>
    <row r="2045" spans="14:15" ht="30.95" customHeight="1">
      <c r="N2045" s="552"/>
      <c r="O2045" s="552"/>
    </row>
    <row r="2046" spans="14:15" ht="30.95" customHeight="1">
      <c r="N2046" s="552"/>
      <c r="O2046" s="552"/>
    </row>
    <row r="2047" spans="14:15" ht="30.95" customHeight="1">
      <c r="N2047" s="552"/>
      <c r="O2047" s="552"/>
    </row>
    <row r="2048" spans="14:15" ht="30.95" customHeight="1">
      <c r="N2048" s="552"/>
      <c r="O2048" s="552"/>
    </row>
    <row r="2049" spans="14:15" ht="30.95" customHeight="1">
      <c r="N2049" s="552"/>
      <c r="O2049" s="552"/>
    </row>
    <row r="2050" spans="14:15" ht="30.95" customHeight="1">
      <c r="N2050" s="552"/>
      <c r="O2050" s="552"/>
    </row>
    <row r="2051" spans="14:15" ht="30.95" customHeight="1">
      <c r="N2051" s="552"/>
      <c r="O2051" s="552"/>
    </row>
    <row r="2052" spans="14:15" ht="30.95" customHeight="1">
      <c r="N2052" s="552"/>
      <c r="O2052" s="552"/>
    </row>
    <row r="2053" spans="14:15" ht="30.95" customHeight="1">
      <c r="N2053" s="552"/>
      <c r="O2053" s="552"/>
    </row>
    <row r="2054" spans="14:15" ht="30.95" customHeight="1">
      <c r="N2054" s="552"/>
      <c r="O2054" s="552"/>
    </row>
    <row r="2055" spans="14:15" ht="30.95" customHeight="1">
      <c r="N2055" s="552"/>
      <c r="O2055" s="552"/>
    </row>
    <row r="2056" spans="14:15" ht="30.95" customHeight="1">
      <c r="N2056" s="552"/>
      <c r="O2056" s="552"/>
    </row>
    <row r="2057" spans="14:15" ht="30.95" customHeight="1">
      <c r="N2057" s="552"/>
      <c r="O2057" s="552"/>
    </row>
    <row r="2058" spans="14:15" ht="30.95" customHeight="1">
      <c r="N2058" s="552"/>
      <c r="O2058" s="552"/>
    </row>
    <row r="2059" spans="14:15" ht="30.95" customHeight="1">
      <c r="N2059" s="552"/>
      <c r="O2059" s="552"/>
    </row>
    <row r="2060" spans="14:15" ht="30.95" customHeight="1">
      <c r="N2060" s="552"/>
      <c r="O2060" s="552"/>
    </row>
    <row r="2061" spans="14:15" ht="30.95" customHeight="1">
      <c r="N2061" s="552"/>
      <c r="O2061" s="552"/>
    </row>
    <row r="2062" spans="14:15" ht="30.95" customHeight="1">
      <c r="N2062" s="552"/>
      <c r="O2062" s="552"/>
    </row>
    <row r="2063" spans="14:15" ht="30.95" customHeight="1">
      <c r="N2063" s="552"/>
      <c r="O2063" s="552"/>
    </row>
    <row r="2064" spans="14:15" ht="30.95" customHeight="1">
      <c r="N2064" s="552"/>
      <c r="O2064" s="552"/>
    </row>
    <row r="2065" spans="14:15" ht="30.95" customHeight="1">
      <c r="N2065" s="552"/>
      <c r="O2065" s="552"/>
    </row>
    <row r="2066" spans="14:15" ht="30.95" customHeight="1">
      <c r="N2066" s="552"/>
      <c r="O2066" s="552"/>
    </row>
    <row r="2067" spans="14:15" ht="30.95" customHeight="1">
      <c r="N2067" s="552"/>
      <c r="O2067" s="552"/>
    </row>
    <row r="2068" spans="14:15" ht="30.95" customHeight="1">
      <c r="N2068" s="552"/>
      <c r="O2068" s="552"/>
    </row>
    <row r="2069" spans="14:15" ht="30.95" customHeight="1">
      <c r="N2069" s="552"/>
      <c r="O2069" s="552"/>
    </row>
    <row r="2070" spans="14:15" ht="30.95" customHeight="1">
      <c r="N2070" s="552"/>
      <c r="O2070" s="552"/>
    </row>
    <row r="2071" spans="14:15" ht="30.95" customHeight="1">
      <c r="N2071" s="552"/>
      <c r="O2071" s="552"/>
    </row>
    <row r="2072" spans="14:15" ht="30.95" customHeight="1">
      <c r="N2072" s="552"/>
      <c r="O2072" s="552"/>
    </row>
    <row r="2073" spans="14:15" ht="30.95" customHeight="1">
      <c r="N2073" s="552"/>
      <c r="O2073" s="552"/>
    </row>
    <row r="2074" spans="14:15" ht="30.95" customHeight="1">
      <c r="N2074" s="552"/>
      <c r="O2074" s="552"/>
    </row>
    <row r="2075" spans="14:15" ht="30.95" customHeight="1">
      <c r="N2075" s="552"/>
      <c r="O2075" s="552"/>
    </row>
    <row r="2076" spans="14:15" ht="30.95" customHeight="1">
      <c r="N2076" s="552"/>
      <c r="O2076" s="552"/>
    </row>
    <row r="2077" spans="14:15" ht="30.95" customHeight="1">
      <c r="N2077" s="552"/>
      <c r="O2077" s="552"/>
    </row>
    <row r="2078" spans="14:15" ht="30.95" customHeight="1">
      <c r="N2078" s="552"/>
      <c r="O2078" s="552"/>
    </row>
    <row r="2079" spans="14:15" ht="30.95" customHeight="1">
      <c r="N2079" s="552"/>
      <c r="O2079" s="552"/>
    </row>
    <row r="2080" spans="14:15" ht="30.95" customHeight="1">
      <c r="N2080" s="552"/>
      <c r="O2080" s="552"/>
    </row>
    <row r="2081" spans="14:15" ht="30.95" customHeight="1">
      <c r="N2081" s="552"/>
      <c r="O2081" s="552"/>
    </row>
    <row r="2082" spans="14:15" ht="30.95" customHeight="1">
      <c r="N2082" s="552"/>
      <c r="O2082" s="552"/>
    </row>
    <row r="2083" spans="14:15" ht="30.95" customHeight="1">
      <c r="N2083" s="552"/>
      <c r="O2083" s="552"/>
    </row>
    <row r="2084" spans="14:15" ht="30.95" customHeight="1">
      <c r="N2084" s="552"/>
      <c r="O2084" s="552"/>
    </row>
    <row r="2085" spans="14:15" ht="30.95" customHeight="1">
      <c r="N2085" s="552"/>
      <c r="O2085" s="552"/>
    </row>
    <row r="2086" spans="14:15" ht="30.95" customHeight="1">
      <c r="N2086" s="552"/>
      <c r="O2086" s="552"/>
    </row>
    <row r="2087" spans="14:15" ht="30.95" customHeight="1">
      <c r="N2087" s="552"/>
      <c r="O2087" s="552"/>
    </row>
    <row r="2088" spans="14:15" ht="30.95" customHeight="1">
      <c r="N2088" s="552"/>
      <c r="O2088" s="552"/>
    </row>
    <row r="2089" spans="14:15" ht="30.95" customHeight="1">
      <c r="N2089" s="552"/>
      <c r="O2089" s="552"/>
    </row>
    <row r="2090" spans="14:15" ht="30.95" customHeight="1">
      <c r="N2090" s="552"/>
      <c r="O2090" s="552"/>
    </row>
    <row r="2091" spans="14:15" ht="30.95" customHeight="1">
      <c r="N2091" s="552"/>
      <c r="O2091" s="552"/>
    </row>
    <row r="2092" spans="14:15" ht="30.95" customHeight="1">
      <c r="N2092" s="552"/>
      <c r="O2092" s="552"/>
    </row>
    <row r="2093" spans="14:15" ht="30.95" customHeight="1">
      <c r="N2093" s="552"/>
      <c r="O2093" s="552"/>
    </row>
    <row r="2094" spans="14:15" ht="30.95" customHeight="1">
      <c r="N2094" s="552"/>
      <c r="O2094" s="552"/>
    </row>
    <row r="2095" spans="14:15" ht="30.95" customHeight="1">
      <c r="N2095" s="552"/>
      <c r="O2095" s="552"/>
    </row>
    <row r="2096" spans="14:15" ht="30.95" customHeight="1">
      <c r="N2096" s="552"/>
      <c r="O2096" s="552"/>
    </row>
    <row r="2097" spans="14:15" ht="30.95" customHeight="1">
      <c r="N2097" s="552"/>
      <c r="O2097" s="552"/>
    </row>
    <row r="2098" spans="14:15" ht="30.95" customHeight="1">
      <c r="N2098" s="552"/>
      <c r="O2098" s="552"/>
    </row>
    <row r="2099" spans="14:15" ht="30.95" customHeight="1">
      <c r="N2099" s="552"/>
      <c r="O2099" s="552"/>
    </row>
    <row r="2100" spans="14:15" ht="30.95" customHeight="1">
      <c r="N2100" s="552"/>
      <c r="O2100" s="552"/>
    </row>
    <row r="2101" spans="14:15" ht="30.95" customHeight="1">
      <c r="N2101" s="552"/>
      <c r="O2101" s="552"/>
    </row>
    <row r="2102" spans="14:15" ht="30.95" customHeight="1">
      <c r="N2102" s="552"/>
      <c r="O2102" s="552"/>
    </row>
    <row r="2103" spans="14:15" ht="30.95" customHeight="1">
      <c r="N2103" s="552"/>
      <c r="O2103" s="552"/>
    </row>
    <row r="2104" spans="14:15" ht="30.95" customHeight="1">
      <c r="N2104" s="552"/>
      <c r="O2104" s="552"/>
    </row>
    <row r="2105" spans="14:15" ht="30.95" customHeight="1">
      <c r="N2105" s="552"/>
      <c r="O2105" s="552"/>
    </row>
    <row r="2106" spans="14:15" ht="30.95" customHeight="1">
      <c r="N2106" s="552"/>
      <c r="O2106" s="552"/>
    </row>
    <row r="2107" spans="14:15" ht="30.95" customHeight="1">
      <c r="N2107" s="552"/>
      <c r="O2107" s="552"/>
    </row>
    <row r="2108" spans="14:15" ht="30.95" customHeight="1">
      <c r="N2108" s="552"/>
      <c r="O2108" s="552"/>
    </row>
    <row r="2109" spans="14:15" ht="30.95" customHeight="1">
      <c r="N2109" s="552"/>
      <c r="O2109" s="552"/>
    </row>
    <row r="2110" spans="14:15" ht="30.95" customHeight="1">
      <c r="N2110" s="552"/>
      <c r="O2110" s="552"/>
    </row>
    <row r="2111" spans="14:15" ht="30.95" customHeight="1">
      <c r="N2111" s="552"/>
      <c r="O2111" s="552"/>
    </row>
    <row r="2112" spans="14:15" ht="30.95" customHeight="1">
      <c r="N2112" s="552"/>
      <c r="O2112" s="552"/>
    </row>
    <row r="2113" spans="14:15" ht="30.95" customHeight="1">
      <c r="N2113" s="552"/>
      <c r="O2113" s="552"/>
    </row>
    <row r="2114" spans="14:15" ht="30.95" customHeight="1">
      <c r="N2114" s="552"/>
      <c r="O2114" s="552"/>
    </row>
    <row r="2115" spans="14:15" ht="30.95" customHeight="1">
      <c r="N2115" s="552"/>
      <c r="O2115" s="552"/>
    </row>
    <row r="2116" spans="14:15" ht="30.95" customHeight="1">
      <c r="N2116" s="552"/>
      <c r="O2116" s="552"/>
    </row>
    <row r="2117" spans="14:15" ht="30.95" customHeight="1">
      <c r="N2117" s="552"/>
      <c r="O2117" s="552"/>
    </row>
    <row r="2118" spans="14:15" ht="30.95" customHeight="1">
      <c r="N2118" s="552"/>
      <c r="O2118" s="552"/>
    </row>
    <row r="2119" spans="14:15" ht="30.95" customHeight="1">
      <c r="N2119" s="552"/>
      <c r="O2119" s="552"/>
    </row>
    <row r="2120" spans="14:15" ht="30.95" customHeight="1">
      <c r="N2120" s="552"/>
      <c r="O2120" s="552"/>
    </row>
    <row r="2121" spans="14:15" ht="30.95" customHeight="1">
      <c r="N2121" s="552"/>
      <c r="O2121" s="552"/>
    </row>
    <row r="2122" spans="14:15" ht="30.95" customHeight="1">
      <c r="N2122" s="552"/>
      <c r="O2122" s="552"/>
    </row>
    <row r="2123" spans="14:15" ht="30.95" customHeight="1">
      <c r="N2123" s="552"/>
      <c r="O2123" s="552"/>
    </row>
    <row r="2124" spans="14:15" ht="30.95" customHeight="1">
      <c r="N2124" s="552"/>
      <c r="O2124" s="552"/>
    </row>
    <row r="2125" spans="14:15" ht="30.95" customHeight="1">
      <c r="N2125" s="552"/>
      <c r="O2125" s="552"/>
    </row>
    <row r="2126" spans="14:15" ht="30.95" customHeight="1">
      <c r="N2126" s="552"/>
      <c r="O2126" s="552"/>
    </row>
    <row r="2127" spans="14:15" ht="30.95" customHeight="1">
      <c r="N2127" s="552"/>
      <c r="O2127" s="552"/>
    </row>
    <row r="2128" spans="14:15" ht="30.95" customHeight="1">
      <c r="N2128" s="552"/>
      <c r="O2128" s="552"/>
    </row>
    <row r="2129" spans="14:15" ht="30.95" customHeight="1">
      <c r="N2129" s="552"/>
      <c r="O2129" s="552"/>
    </row>
    <row r="2130" spans="14:15" ht="30.95" customHeight="1">
      <c r="N2130" s="552"/>
      <c r="O2130" s="552"/>
    </row>
    <row r="2131" spans="14:15" ht="30.95" customHeight="1">
      <c r="N2131" s="552"/>
      <c r="O2131" s="552"/>
    </row>
    <row r="2132" spans="14:15" ht="30.95" customHeight="1">
      <c r="N2132" s="552"/>
      <c r="O2132" s="552"/>
    </row>
    <row r="2133" spans="14:15" ht="30.95" customHeight="1">
      <c r="N2133" s="552"/>
      <c r="O2133" s="552"/>
    </row>
    <row r="2134" spans="14:15" ht="30.95" customHeight="1">
      <c r="N2134" s="552"/>
      <c r="O2134" s="552"/>
    </row>
    <row r="2135" spans="14:15" ht="30.95" customHeight="1">
      <c r="N2135" s="552"/>
      <c r="O2135" s="552"/>
    </row>
    <row r="2136" spans="14:15" ht="30.95" customHeight="1">
      <c r="N2136" s="552"/>
      <c r="O2136" s="552"/>
    </row>
    <row r="2137" spans="14:15" ht="30.95" customHeight="1">
      <c r="N2137" s="552"/>
      <c r="O2137" s="552"/>
    </row>
    <row r="2138" spans="14:15" ht="30.95" customHeight="1">
      <c r="N2138" s="552"/>
      <c r="O2138" s="552"/>
    </row>
    <row r="2139" spans="14:15" ht="30.95" customHeight="1">
      <c r="N2139" s="552"/>
      <c r="O2139" s="552"/>
    </row>
    <row r="2140" spans="14:15" ht="30.95" customHeight="1">
      <c r="N2140" s="552"/>
      <c r="O2140" s="552"/>
    </row>
    <row r="2141" spans="14:15" ht="30.95" customHeight="1">
      <c r="N2141" s="552"/>
      <c r="O2141" s="552"/>
    </row>
    <row r="2142" spans="14:15" ht="30.95" customHeight="1">
      <c r="N2142" s="552"/>
      <c r="O2142" s="552"/>
    </row>
    <row r="2143" spans="14:15" ht="30.95" customHeight="1">
      <c r="N2143" s="552"/>
      <c r="O2143" s="552"/>
    </row>
    <row r="2144" spans="14:15" ht="30.95" customHeight="1">
      <c r="N2144" s="552"/>
      <c r="O2144" s="552"/>
    </row>
    <row r="2145" spans="14:15" ht="30.95" customHeight="1">
      <c r="N2145" s="552"/>
      <c r="O2145" s="552"/>
    </row>
    <row r="2146" spans="14:15" ht="30.95" customHeight="1">
      <c r="N2146" s="552"/>
      <c r="O2146" s="552"/>
    </row>
    <row r="2147" spans="14:15" ht="30.95" customHeight="1">
      <c r="N2147" s="552"/>
      <c r="O2147" s="552"/>
    </row>
    <row r="2148" spans="14:15" ht="30.95" customHeight="1">
      <c r="N2148" s="552"/>
      <c r="O2148" s="552"/>
    </row>
    <row r="2149" spans="14:15" ht="30.95" customHeight="1">
      <c r="N2149" s="552"/>
      <c r="O2149" s="552"/>
    </row>
    <row r="2150" spans="14:15" ht="30.95" customHeight="1">
      <c r="N2150" s="552"/>
      <c r="O2150" s="552"/>
    </row>
    <row r="2151" spans="14:15" ht="30.95" customHeight="1">
      <c r="N2151" s="552"/>
      <c r="O2151" s="552"/>
    </row>
    <row r="2152" spans="14:15" ht="30.95" customHeight="1">
      <c r="N2152" s="552"/>
      <c r="O2152" s="552"/>
    </row>
    <row r="2153" spans="14:15" ht="30.95" customHeight="1">
      <c r="N2153" s="552"/>
      <c r="O2153" s="552"/>
    </row>
    <row r="2154" spans="14:15" ht="30.95" customHeight="1">
      <c r="N2154" s="552"/>
      <c r="O2154" s="552"/>
    </row>
    <row r="2155" spans="14:15" ht="30.95" customHeight="1">
      <c r="N2155" s="552"/>
      <c r="O2155" s="552"/>
    </row>
    <row r="2156" spans="14:15" ht="30.95" customHeight="1">
      <c r="N2156" s="552"/>
      <c r="O2156" s="552"/>
    </row>
    <row r="2157" spans="14:15" ht="30.95" customHeight="1">
      <c r="N2157" s="552"/>
      <c r="O2157" s="552"/>
    </row>
    <row r="2158" spans="14:15" ht="30.95" customHeight="1">
      <c r="N2158" s="552"/>
      <c r="O2158" s="552"/>
    </row>
    <row r="2159" spans="14:15" ht="30.95" customHeight="1">
      <c r="N2159" s="552"/>
      <c r="O2159" s="552"/>
    </row>
    <row r="2160" spans="14:15" ht="30.95" customHeight="1">
      <c r="N2160" s="552"/>
      <c r="O2160" s="552"/>
    </row>
    <row r="2161" spans="14:15" ht="30.95" customHeight="1">
      <c r="N2161" s="552"/>
      <c r="O2161" s="552"/>
    </row>
    <row r="2162" spans="14:15" ht="30.95" customHeight="1">
      <c r="N2162" s="552"/>
      <c r="O2162" s="552"/>
    </row>
    <row r="2163" spans="14:15" ht="30.95" customHeight="1">
      <c r="N2163" s="552"/>
      <c r="O2163" s="552"/>
    </row>
    <row r="2164" spans="14:15" ht="30.95" customHeight="1">
      <c r="N2164" s="552"/>
      <c r="O2164" s="552"/>
    </row>
    <row r="2165" spans="14:15" ht="30.95" customHeight="1">
      <c r="N2165" s="552"/>
      <c r="O2165" s="552"/>
    </row>
    <row r="2166" spans="14:15" ht="30.95" customHeight="1">
      <c r="N2166" s="552"/>
      <c r="O2166" s="552"/>
    </row>
    <row r="2167" spans="14:15" ht="30.95" customHeight="1">
      <c r="N2167" s="552"/>
      <c r="O2167" s="552"/>
    </row>
    <row r="2168" spans="14:15" ht="30.95" customHeight="1">
      <c r="N2168" s="552"/>
      <c r="O2168" s="552"/>
    </row>
    <row r="2169" spans="14:15" ht="30.95" customHeight="1">
      <c r="N2169" s="552"/>
      <c r="O2169" s="552"/>
    </row>
    <row r="2170" spans="14:15" ht="30.95" customHeight="1">
      <c r="N2170" s="552"/>
      <c r="O2170" s="552"/>
    </row>
    <row r="2171" spans="14:15" ht="30.95" customHeight="1">
      <c r="N2171" s="552"/>
      <c r="O2171" s="552"/>
    </row>
    <row r="2172" spans="14:15" ht="30.95" customHeight="1">
      <c r="N2172" s="552"/>
      <c r="O2172" s="552"/>
    </row>
    <row r="2173" spans="14:15" ht="30.95" customHeight="1">
      <c r="N2173" s="552"/>
      <c r="O2173" s="552"/>
    </row>
    <row r="2174" spans="14:15" ht="30.95" customHeight="1">
      <c r="N2174" s="552"/>
      <c r="O2174" s="552"/>
    </row>
    <row r="2175" spans="14:15" ht="30.95" customHeight="1">
      <c r="N2175" s="552"/>
      <c r="O2175" s="552"/>
    </row>
    <row r="2176" spans="14:15" ht="30.95" customHeight="1">
      <c r="N2176" s="552"/>
      <c r="O2176" s="552"/>
    </row>
    <row r="2177" spans="14:15" ht="30.95" customHeight="1">
      <c r="N2177" s="552"/>
      <c r="O2177" s="552"/>
    </row>
    <row r="2178" spans="14:15" ht="30.95" customHeight="1">
      <c r="N2178" s="552"/>
      <c r="O2178" s="552"/>
    </row>
    <row r="2179" spans="14:15" ht="30.95" customHeight="1">
      <c r="N2179" s="552"/>
      <c r="O2179" s="552"/>
    </row>
    <row r="2180" spans="14:15" ht="30.95" customHeight="1">
      <c r="N2180" s="552"/>
      <c r="O2180" s="552"/>
    </row>
    <row r="2181" spans="14:15" ht="30.95" customHeight="1">
      <c r="N2181" s="552"/>
      <c r="O2181" s="552"/>
    </row>
    <row r="2182" spans="14:15" ht="30.95" customHeight="1">
      <c r="N2182" s="552"/>
      <c r="O2182" s="552"/>
    </row>
    <row r="2183" spans="14:15" ht="30.95" customHeight="1">
      <c r="N2183" s="552"/>
      <c r="O2183" s="552"/>
    </row>
    <row r="2184" spans="14:15" ht="30.95" customHeight="1">
      <c r="N2184" s="552"/>
      <c r="O2184" s="552"/>
    </row>
    <row r="2185" spans="14:15" ht="30.95" customHeight="1">
      <c r="N2185" s="552"/>
      <c r="O2185" s="552"/>
    </row>
    <row r="2186" spans="14:15" ht="30.95" customHeight="1">
      <c r="N2186" s="552"/>
      <c r="O2186" s="552"/>
    </row>
    <row r="2187" spans="14:15" ht="30.95" customHeight="1">
      <c r="N2187" s="552"/>
      <c r="O2187" s="552"/>
    </row>
    <row r="2188" spans="14:15" ht="30.95" customHeight="1">
      <c r="N2188" s="552"/>
      <c r="O2188" s="552"/>
    </row>
    <row r="2189" spans="14:15" ht="30.95" customHeight="1">
      <c r="N2189" s="552"/>
      <c r="O2189" s="552"/>
    </row>
    <row r="2190" spans="14:15" ht="30.95" customHeight="1">
      <c r="N2190" s="552"/>
      <c r="O2190" s="552"/>
    </row>
    <row r="2191" spans="14:15" ht="30.95" customHeight="1">
      <c r="N2191" s="552"/>
      <c r="O2191" s="552"/>
    </row>
    <row r="2192" spans="14:15" ht="30.95" customHeight="1">
      <c r="N2192" s="552"/>
      <c r="O2192" s="552"/>
    </row>
    <row r="2193" spans="14:15" ht="30.95" customHeight="1">
      <c r="N2193" s="552"/>
      <c r="O2193" s="552"/>
    </row>
    <row r="2194" spans="14:15" ht="30.95" customHeight="1">
      <c r="N2194" s="552"/>
      <c r="O2194" s="552"/>
    </row>
    <row r="2195" spans="14:15" ht="30.95" customHeight="1">
      <c r="N2195" s="552"/>
      <c r="O2195" s="552"/>
    </row>
    <row r="2196" spans="14:15" ht="30.95" customHeight="1">
      <c r="N2196" s="552"/>
      <c r="O2196" s="552"/>
    </row>
    <row r="2197" spans="14:15" ht="30.95" customHeight="1">
      <c r="N2197" s="552"/>
      <c r="O2197" s="552"/>
    </row>
    <row r="2198" spans="14:15" ht="30.95" customHeight="1">
      <c r="N2198" s="552"/>
      <c r="O2198" s="552"/>
    </row>
    <row r="2199" spans="14:15" ht="30.95" customHeight="1">
      <c r="N2199" s="552"/>
      <c r="O2199" s="552"/>
    </row>
    <row r="2200" spans="14:15" ht="30.95" customHeight="1">
      <c r="N2200" s="552"/>
      <c r="O2200" s="552"/>
    </row>
    <row r="2201" spans="14:15" ht="30.95" customHeight="1">
      <c r="N2201" s="552"/>
      <c r="O2201" s="552"/>
    </row>
    <row r="2202" spans="14:15" ht="30.95" customHeight="1">
      <c r="N2202" s="552"/>
      <c r="O2202" s="552"/>
    </row>
    <row r="2203" spans="14:15" ht="30.95" customHeight="1">
      <c r="N2203" s="552"/>
      <c r="O2203" s="552"/>
    </row>
    <row r="2204" spans="14:15" ht="30.95" customHeight="1">
      <c r="N2204" s="552"/>
      <c r="O2204" s="552"/>
    </row>
    <row r="2205" spans="14:15" ht="30.95" customHeight="1">
      <c r="N2205" s="552"/>
      <c r="O2205" s="552"/>
    </row>
    <row r="2206" spans="14:15" ht="30.95" customHeight="1">
      <c r="N2206" s="552"/>
      <c r="O2206" s="552"/>
    </row>
    <row r="2207" spans="14:15" ht="30.95" customHeight="1">
      <c r="N2207" s="552"/>
      <c r="O2207" s="552"/>
    </row>
    <row r="2208" spans="14:15" ht="30.95" customHeight="1">
      <c r="N2208" s="552"/>
      <c r="O2208" s="552"/>
    </row>
    <row r="2209" spans="14:15" ht="30.95" customHeight="1">
      <c r="N2209" s="552"/>
      <c r="O2209" s="552"/>
    </row>
    <row r="2210" spans="14:15" ht="30.95" customHeight="1">
      <c r="N2210" s="552"/>
      <c r="O2210" s="552"/>
    </row>
    <row r="2211" spans="14:15" ht="30.95" customHeight="1">
      <c r="N2211" s="552"/>
      <c r="O2211" s="552"/>
    </row>
    <row r="2212" spans="14:15" ht="30.95" customHeight="1">
      <c r="N2212" s="552"/>
      <c r="O2212" s="552"/>
    </row>
    <row r="2213" spans="14:15" ht="30.95" customHeight="1">
      <c r="N2213" s="552"/>
      <c r="O2213" s="552"/>
    </row>
    <row r="2214" spans="14:15" ht="30.95" customHeight="1">
      <c r="N2214" s="552"/>
      <c r="O2214" s="552"/>
    </row>
    <row r="2215" spans="14:15" ht="30.95" customHeight="1">
      <c r="N2215" s="552"/>
      <c r="O2215" s="552"/>
    </row>
    <row r="2216" spans="14:15" ht="30.95" customHeight="1">
      <c r="N2216" s="552"/>
      <c r="O2216" s="552"/>
    </row>
    <row r="2217" spans="14:15" ht="30.95" customHeight="1">
      <c r="N2217" s="552"/>
      <c r="O2217" s="552"/>
    </row>
    <row r="2218" spans="14:15" ht="30.95" customHeight="1">
      <c r="N2218" s="552"/>
      <c r="O2218" s="552"/>
    </row>
    <row r="2219" spans="14:15" ht="30.95" customHeight="1">
      <c r="N2219" s="552"/>
      <c r="O2219" s="552"/>
    </row>
    <row r="2220" spans="14:15" ht="30.95" customHeight="1">
      <c r="N2220" s="552"/>
      <c r="O2220" s="552"/>
    </row>
    <row r="2221" spans="14:15" ht="30.95" customHeight="1">
      <c r="N2221" s="552"/>
      <c r="O2221" s="552"/>
    </row>
    <row r="2222" spans="14:15" ht="30.95" customHeight="1">
      <c r="N2222" s="552"/>
      <c r="O2222" s="552"/>
    </row>
    <row r="2223" spans="14:15" ht="30.95" customHeight="1">
      <c r="N2223" s="552"/>
      <c r="O2223" s="552"/>
    </row>
    <row r="2224" spans="14:15" ht="30.95" customHeight="1">
      <c r="N2224" s="552"/>
      <c r="O2224" s="552"/>
    </row>
    <row r="2225" spans="14:15" ht="30.95" customHeight="1">
      <c r="N2225" s="552"/>
      <c r="O2225" s="552"/>
    </row>
    <row r="2226" spans="14:15" ht="30.95" customHeight="1">
      <c r="N2226" s="552"/>
      <c r="O2226" s="552"/>
    </row>
    <row r="2227" spans="14:15" ht="30.95" customHeight="1">
      <c r="N2227" s="552"/>
      <c r="O2227" s="552"/>
    </row>
    <row r="2228" spans="14:15" ht="30.95" customHeight="1">
      <c r="N2228" s="552"/>
      <c r="O2228" s="552"/>
    </row>
    <row r="2229" spans="14:15" ht="30.95" customHeight="1">
      <c r="N2229" s="552"/>
      <c r="O2229" s="552"/>
    </row>
    <row r="2230" spans="14:15" ht="30.95" customHeight="1">
      <c r="N2230" s="552"/>
      <c r="O2230" s="552"/>
    </row>
    <row r="2231" spans="14:15" ht="30.95" customHeight="1">
      <c r="N2231" s="552"/>
      <c r="O2231" s="552"/>
    </row>
    <row r="2232" spans="14:15" ht="30.95" customHeight="1">
      <c r="N2232" s="552"/>
      <c r="O2232" s="552"/>
    </row>
    <row r="2233" spans="14:15" ht="30.95" customHeight="1">
      <c r="N2233" s="552"/>
      <c r="O2233" s="552"/>
    </row>
    <row r="2234" spans="14:15" ht="30.95" customHeight="1">
      <c r="N2234" s="552"/>
      <c r="O2234" s="552"/>
    </row>
    <row r="2235" spans="14:15" ht="30.95" customHeight="1">
      <c r="N2235" s="552"/>
      <c r="O2235" s="552"/>
    </row>
    <row r="2236" spans="14:15" ht="30.95" customHeight="1">
      <c r="N2236" s="552"/>
      <c r="O2236" s="552"/>
    </row>
    <row r="2237" spans="14:15" ht="30.95" customHeight="1">
      <c r="N2237" s="552"/>
      <c r="O2237" s="552"/>
    </row>
    <row r="2238" spans="14:15" ht="30.95" customHeight="1">
      <c r="N2238" s="552"/>
      <c r="O2238" s="552"/>
    </row>
    <row r="2239" spans="14:15" ht="30.95" customHeight="1">
      <c r="N2239" s="552"/>
      <c r="O2239" s="552"/>
    </row>
    <row r="2240" spans="14:15" ht="30.95" customHeight="1">
      <c r="N2240" s="552"/>
      <c r="O2240" s="552"/>
    </row>
    <row r="2241" spans="14:15" ht="30.95" customHeight="1">
      <c r="N2241" s="552"/>
      <c r="O2241" s="552"/>
    </row>
    <row r="2242" spans="14:15" ht="30.95" customHeight="1">
      <c r="N2242" s="552"/>
      <c r="O2242" s="552"/>
    </row>
    <row r="2243" spans="14:15" ht="30.95" customHeight="1">
      <c r="N2243" s="552"/>
      <c r="O2243" s="552"/>
    </row>
    <row r="2244" spans="14:15" ht="30.95" customHeight="1">
      <c r="N2244" s="552"/>
      <c r="O2244" s="552"/>
    </row>
    <row r="2245" spans="14:15" ht="30.95" customHeight="1">
      <c r="N2245" s="552"/>
      <c r="O2245" s="552"/>
    </row>
    <row r="2246" spans="14:15" ht="30.95" customHeight="1">
      <c r="N2246" s="552"/>
      <c r="O2246" s="552"/>
    </row>
    <row r="2247" spans="14:15" ht="30.95" customHeight="1">
      <c r="N2247" s="552"/>
      <c r="O2247" s="552"/>
    </row>
    <row r="2248" spans="14:15" ht="30.95" customHeight="1">
      <c r="N2248" s="552"/>
      <c r="O2248" s="552"/>
    </row>
    <row r="2249" spans="14:15" ht="30.95" customHeight="1">
      <c r="N2249" s="552"/>
      <c r="O2249" s="552"/>
    </row>
    <row r="2250" spans="14:15" ht="30.95" customHeight="1">
      <c r="N2250" s="552"/>
      <c r="O2250" s="552"/>
    </row>
    <row r="2251" spans="14:15" ht="30.95" customHeight="1">
      <c r="N2251" s="552"/>
      <c r="O2251" s="552"/>
    </row>
    <row r="2252" spans="14:15" ht="30.95" customHeight="1">
      <c r="N2252" s="552"/>
      <c r="O2252" s="552"/>
    </row>
    <row r="2253" spans="14:15" ht="30.95" customHeight="1">
      <c r="N2253" s="552"/>
      <c r="O2253" s="552"/>
    </row>
    <row r="2254" spans="14:15" ht="30.95" customHeight="1">
      <c r="N2254" s="552"/>
      <c r="O2254" s="552"/>
    </row>
    <row r="2255" spans="14:15" ht="30.95" customHeight="1">
      <c r="N2255" s="552"/>
      <c r="O2255" s="552"/>
    </row>
    <row r="2256" spans="14:15" ht="30.95" customHeight="1">
      <c r="N2256" s="552"/>
      <c r="O2256" s="552"/>
    </row>
    <row r="2257" spans="14:15" ht="30.95" customHeight="1">
      <c r="N2257" s="552"/>
      <c r="O2257" s="552"/>
    </row>
    <row r="2258" spans="14:15" ht="30.95" customHeight="1">
      <c r="N2258" s="552"/>
      <c r="O2258" s="552"/>
    </row>
    <row r="2259" spans="14:15" ht="30.95" customHeight="1">
      <c r="N2259" s="552"/>
      <c r="O2259" s="552"/>
    </row>
    <row r="2260" spans="14:15" ht="30.95" customHeight="1">
      <c r="N2260" s="552"/>
      <c r="O2260" s="552"/>
    </row>
    <row r="2261" spans="14:15" ht="30.95" customHeight="1">
      <c r="N2261" s="552"/>
      <c r="O2261" s="552"/>
    </row>
    <row r="2262" spans="14:15" ht="30.95" customHeight="1">
      <c r="N2262" s="552"/>
      <c r="O2262" s="552"/>
    </row>
    <row r="2263" spans="14:15" ht="30.95" customHeight="1">
      <c r="N2263" s="552"/>
      <c r="O2263" s="552"/>
    </row>
    <row r="2264" spans="14:15" ht="30.95" customHeight="1">
      <c r="N2264" s="552"/>
      <c r="O2264" s="552"/>
    </row>
    <row r="2265" spans="14:15" ht="30.95" customHeight="1">
      <c r="N2265" s="552"/>
      <c r="O2265" s="552"/>
    </row>
    <row r="2266" spans="14:15" ht="30.95" customHeight="1">
      <c r="N2266" s="552"/>
      <c r="O2266" s="552"/>
    </row>
    <row r="2267" spans="14:15" ht="30.95" customHeight="1">
      <c r="N2267" s="552"/>
      <c r="O2267" s="552"/>
    </row>
    <row r="2268" spans="14:15" ht="30.95" customHeight="1">
      <c r="N2268" s="552"/>
      <c r="O2268" s="552"/>
    </row>
    <row r="2269" spans="14:15" ht="30.95" customHeight="1">
      <c r="N2269" s="552"/>
      <c r="O2269" s="552"/>
    </row>
    <row r="2270" spans="14:15" ht="30.95" customHeight="1">
      <c r="N2270" s="552"/>
      <c r="O2270" s="552"/>
    </row>
    <row r="2271" spans="14:15" ht="30.95" customHeight="1">
      <c r="N2271" s="552"/>
      <c r="O2271" s="552"/>
    </row>
    <row r="2272" spans="14:15" ht="30.95" customHeight="1">
      <c r="N2272" s="552"/>
      <c r="O2272" s="552"/>
    </row>
    <row r="2273" spans="14:15" ht="30.95" customHeight="1">
      <c r="N2273" s="552"/>
      <c r="O2273" s="552"/>
    </row>
    <row r="2274" spans="14:15" ht="30.95" customHeight="1">
      <c r="N2274" s="552"/>
      <c r="O2274" s="552"/>
    </row>
    <row r="2275" spans="14:15" ht="30.95" customHeight="1">
      <c r="N2275" s="552"/>
      <c r="O2275" s="552"/>
    </row>
    <row r="2276" spans="14:15" ht="30.95" customHeight="1">
      <c r="N2276" s="552"/>
      <c r="O2276" s="552"/>
    </row>
    <row r="2277" spans="14:15" ht="30.95" customHeight="1">
      <c r="N2277" s="552"/>
      <c r="O2277" s="552"/>
    </row>
    <row r="2278" spans="14:15" ht="30.95" customHeight="1">
      <c r="N2278" s="552"/>
      <c r="O2278" s="552"/>
    </row>
    <row r="2279" spans="14:15" ht="30.95" customHeight="1">
      <c r="N2279" s="552"/>
      <c r="O2279" s="552"/>
    </row>
    <row r="2280" spans="14:15" ht="30.95" customHeight="1">
      <c r="N2280" s="552"/>
      <c r="O2280" s="552"/>
    </row>
    <row r="2281" spans="14:15" ht="30.95" customHeight="1">
      <c r="N2281" s="552"/>
      <c r="O2281" s="552"/>
    </row>
    <row r="2282" spans="14:15" ht="30.95" customHeight="1">
      <c r="N2282" s="552"/>
      <c r="O2282" s="552"/>
    </row>
    <row r="2283" spans="14:15" ht="30.95" customHeight="1">
      <c r="N2283" s="552"/>
      <c r="O2283" s="552"/>
    </row>
    <row r="2284" spans="14:15" ht="30.95" customHeight="1">
      <c r="N2284" s="552"/>
      <c r="O2284" s="552"/>
    </row>
    <row r="2285" spans="14:15" ht="30.95" customHeight="1">
      <c r="N2285" s="552"/>
      <c r="O2285" s="552"/>
    </row>
    <row r="2286" spans="14:15" ht="30.95" customHeight="1">
      <c r="N2286" s="552"/>
      <c r="O2286" s="552"/>
    </row>
    <row r="2287" spans="14:15" ht="30.95" customHeight="1">
      <c r="N2287" s="552"/>
      <c r="O2287" s="552"/>
    </row>
    <row r="2288" spans="14:15" ht="30.95" customHeight="1">
      <c r="N2288" s="552"/>
      <c r="O2288" s="552"/>
    </row>
    <row r="2289" spans="14:15" ht="30.95" customHeight="1">
      <c r="N2289" s="552"/>
      <c r="O2289" s="552"/>
    </row>
    <row r="2290" spans="14:15" ht="30.95" customHeight="1">
      <c r="N2290" s="552"/>
      <c r="O2290" s="552"/>
    </row>
    <row r="2291" spans="14:15" ht="30.95" customHeight="1">
      <c r="N2291" s="552"/>
      <c r="O2291" s="552"/>
    </row>
    <row r="2292" spans="14:15" ht="30.95" customHeight="1">
      <c r="N2292" s="552"/>
      <c r="O2292" s="552"/>
    </row>
    <row r="2293" spans="14:15" ht="30.95" customHeight="1">
      <c r="N2293" s="552"/>
      <c r="O2293" s="552"/>
    </row>
    <row r="2294" spans="14:15" ht="30.95" customHeight="1">
      <c r="N2294" s="552"/>
      <c r="O2294" s="552"/>
    </row>
    <row r="2295" spans="14:15" ht="30.95" customHeight="1">
      <c r="N2295" s="552"/>
      <c r="O2295" s="552"/>
    </row>
    <row r="2296" spans="14:15" ht="30.95" customHeight="1">
      <c r="N2296" s="552"/>
      <c r="O2296" s="552"/>
    </row>
    <row r="2297" spans="14:15" ht="30.95" customHeight="1">
      <c r="N2297" s="552"/>
      <c r="O2297" s="552"/>
    </row>
    <row r="2298" spans="14:15" ht="30.95" customHeight="1">
      <c r="N2298" s="552"/>
      <c r="O2298" s="552"/>
    </row>
    <row r="2299" spans="14:15" ht="30.95" customHeight="1">
      <c r="N2299" s="552"/>
      <c r="O2299" s="552"/>
    </row>
    <row r="2300" spans="14:15" ht="30.95" customHeight="1">
      <c r="N2300" s="552"/>
      <c r="O2300" s="552"/>
    </row>
    <row r="2301" spans="14:15" ht="30.95" customHeight="1">
      <c r="N2301" s="552"/>
      <c r="O2301" s="552"/>
    </row>
    <row r="2302" spans="14:15" ht="30.95" customHeight="1">
      <c r="N2302" s="552"/>
      <c r="O2302" s="552"/>
    </row>
    <row r="2303" spans="14:15" ht="30.95" customHeight="1">
      <c r="N2303" s="552"/>
      <c r="O2303" s="552"/>
    </row>
    <row r="2304" spans="14:15" ht="30.95" customHeight="1">
      <c r="N2304" s="552"/>
      <c r="O2304" s="552"/>
    </row>
    <row r="2305" spans="14:15" ht="30.95" customHeight="1">
      <c r="N2305" s="552"/>
      <c r="O2305" s="552"/>
    </row>
    <row r="2306" spans="14:15" ht="30.95" customHeight="1">
      <c r="N2306" s="552"/>
      <c r="O2306" s="552"/>
    </row>
    <row r="2307" spans="14:15" ht="30.95" customHeight="1">
      <c r="N2307" s="552"/>
      <c r="O2307" s="552"/>
    </row>
    <row r="2308" spans="14:15" ht="30.95" customHeight="1">
      <c r="N2308" s="552"/>
      <c r="O2308" s="552"/>
    </row>
    <row r="2309" spans="14:15" ht="30.95" customHeight="1">
      <c r="N2309" s="552"/>
      <c r="O2309" s="552"/>
    </row>
    <row r="2310" spans="14:15" ht="30.95" customHeight="1">
      <c r="N2310" s="552"/>
      <c r="O2310" s="552"/>
    </row>
    <row r="2311" spans="14:15" ht="30.95" customHeight="1">
      <c r="N2311" s="552"/>
      <c r="O2311" s="552"/>
    </row>
    <row r="2312" spans="14:15" ht="30.95" customHeight="1">
      <c r="N2312" s="552"/>
      <c r="O2312" s="552"/>
    </row>
    <row r="2313" spans="14:15" ht="30.95" customHeight="1">
      <c r="N2313" s="552"/>
      <c r="O2313" s="552"/>
    </row>
    <row r="2314" spans="14:15" ht="30.95" customHeight="1">
      <c r="N2314" s="552"/>
      <c r="O2314" s="552"/>
    </row>
    <row r="2315" spans="14:15" ht="30.95" customHeight="1">
      <c r="N2315" s="552"/>
      <c r="O2315" s="552"/>
    </row>
    <row r="2316" spans="14:15" ht="30.95" customHeight="1">
      <c r="N2316" s="552"/>
      <c r="O2316" s="552"/>
    </row>
    <row r="2317" spans="14:15" ht="30.95" customHeight="1">
      <c r="N2317" s="552"/>
      <c r="O2317" s="552"/>
    </row>
    <row r="2318" spans="14:15" ht="30.95" customHeight="1">
      <c r="N2318" s="552"/>
      <c r="O2318" s="552"/>
    </row>
    <row r="2319" spans="14:15" ht="30.95" customHeight="1">
      <c r="N2319" s="552"/>
      <c r="O2319" s="552"/>
    </row>
    <row r="2320" spans="14:15" ht="30.95" customHeight="1">
      <c r="N2320" s="552"/>
      <c r="O2320" s="552"/>
    </row>
    <row r="2321" spans="14:15" ht="30.95" customHeight="1">
      <c r="N2321" s="552"/>
      <c r="O2321" s="552"/>
    </row>
    <row r="2322" spans="14:15" ht="30.95" customHeight="1">
      <c r="N2322" s="552"/>
      <c r="O2322" s="552"/>
    </row>
    <row r="2323" spans="14:15" ht="30.95" customHeight="1">
      <c r="N2323" s="552"/>
      <c r="O2323" s="552"/>
    </row>
    <row r="2324" spans="14:15" ht="30.95" customHeight="1">
      <c r="N2324" s="552"/>
      <c r="O2324" s="552"/>
    </row>
    <row r="2325" spans="14:15" ht="30.95" customHeight="1">
      <c r="N2325" s="552"/>
      <c r="O2325" s="552"/>
    </row>
    <row r="2326" spans="14:15" ht="30.95" customHeight="1">
      <c r="N2326" s="552"/>
      <c r="O2326" s="552"/>
    </row>
    <row r="2327" spans="14:15" ht="30.95" customHeight="1">
      <c r="N2327" s="552"/>
      <c r="O2327" s="552"/>
    </row>
    <row r="2328" spans="14:15" ht="30.95" customHeight="1">
      <c r="N2328" s="552"/>
      <c r="O2328" s="552"/>
    </row>
    <row r="2329" spans="14:15" ht="30.95" customHeight="1">
      <c r="N2329" s="552"/>
      <c r="O2329" s="552"/>
    </row>
    <row r="2330" spans="14:15" ht="30.95" customHeight="1">
      <c r="N2330" s="552"/>
      <c r="O2330" s="552"/>
    </row>
    <row r="2331" spans="14:15" ht="30.95" customHeight="1">
      <c r="N2331" s="552"/>
      <c r="O2331" s="552"/>
    </row>
    <row r="2332" spans="14:15" ht="30.95" customHeight="1">
      <c r="N2332" s="552"/>
      <c r="O2332" s="552"/>
    </row>
    <row r="2333" spans="14:15" ht="30.95" customHeight="1">
      <c r="N2333" s="552"/>
      <c r="O2333" s="552"/>
    </row>
    <row r="2334" spans="14:15" ht="30.95" customHeight="1">
      <c r="N2334" s="552"/>
      <c r="O2334" s="552"/>
    </row>
    <row r="2335" spans="14:15" ht="30.95" customHeight="1">
      <c r="N2335" s="552"/>
      <c r="O2335" s="552"/>
    </row>
    <row r="2336" spans="14:15" ht="30.95" customHeight="1">
      <c r="N2336" s="552"/>
      <c r="O2336" s="552"/>
    </row>
    <row r="2337" spans="14:15" ht="30.95" customHeight="1">
      <c r="N2337" s="552"/>
      <c r="O2337" s="552"/>
    </row>
    <row r="2338" spans="14:15" ht="30.95" customHeight="1">
      <c r="N2338" s="552"/>
      <c r="O2338" s="552"/>
    </row>
    <row r="2339" spans="14:15" ht="30.95" customHeight="1">
      <c r="N2339" s="552"/>
      <c r="O2339" s="552"/>
    </row>
    <row r="2340" spans="14:15" ht="30.95" customHeight="1">
      <c r="N2340" s="552"/>
      <c r="O2340" s="552"/>
    </row>
    <row r="2341" spans="14:15" ht="30.95" customHeight="1">
      <c r="N2341" s="552"/>
      <c r="O2341" s="552"/>
    </row>
    <row r="2342" spans="14:15" ht="30.95" customHeight="1">
      <c r="N2342" s="552"/>
      <c r="O2342" s="552"/>
    </row>
    <row r="2343" spans="14:15" ht="30.95" customHeight="1">
      <c r="N2343" s="552"/>
      <c r="O2343" s="552"/>
    </row>
    <row r="2344" spans="14:15" ht="30.95" customHeight="1">
      <c r="N2344" s="552"/>
      <c r="O2344" s="552"/>
    </row>
    <row r="2345" spans="14:15" ht="30.95" customHeight="1">
      <c r="N2345" s="552"/>
      <c r="O2345" s="552"/>
    </row>
    <row r="2346" spans="14:15" ht="30.95" customHeight="1">
      <c r="N2346" s="552"/>
      <c r="O2346" s="552"/>
    </row>
    <row r="2347" spans="14:15" ht="30.95" customHeight="1">
      <c r="N2347" s="552"/>
      <c r="O2347" s="552"/>
    </row>
    <row r="2348" spans="14:15" ht="30.95" customHeight="1">
      <c r="N2348" s="552"/>
      <c r="O2348" s="552"/>
    </row>
    <row r="2349" spans="14:15" ht="30.95" customHeight="1">
      <c r="N2349" s="552"/>
      <c r="O2349" s="552"/>
    </row>
    <row r="2350" spans="14:15" ht="30.95" customHeight="1">
      <c r="N2350" s="552"/>
      <c r="O2350" s="552"/>
    </row>
    <row r="2351" spans="14:15" ht="30.95" customHeight="1">
      <c r="N2351" s="552"/>
      <c r="O2351" s="552"/>
    </row>
    <row r="2352" spans="14:15" ht="30.95" customHeight="1">
      <c r="N2352" s="552"/>
      <c r="O2352" s="552"/>
    </row>
    <row r="2353" spans="14:15" ht="30.95" customHeight="1">
      <c r="N2353" s="552"/>
      <c r="O2353" s="552"/>
    </row>
    <row r="2354" spans="14:15" ht="30.95" customHeight="1">
      <c r="N2354" s="552"/>
      <c r="O2354" s="552"/>
    </row>
    <row r="2355" spans="14:15" ht="30.95" customHeight="1">
      <c r="N2355" s="552"/>
      <c r="O2355" s="552"/>
    </row>
    <row r="2356" spans="14:15" ht="30.95" customHeight="1">
      <c r="N2356" s="552"/>
      <c r="O2356" s="552"/>
    </row>
    <row r="2357" spans="14:15" ht="30.95" customHeight="1">
      <c r="N2357" s="552"/>
      <c r="O2357" s="552"/>
    </row>
    <row r="2358" spans="14:15" ht="30.95" customHeight="1">
      <c r="N2358" s="552"/>
      <c r="O2358" s="552"/>
    </row>
    <row r="2359" spans="14:15" ht="30.95" customHeight="1">
      <c r="N2359" s="552"/>
      <c r="O2359" s="552"/>
    </row>
    <row r="2360" spans="14:15" ht="30.95" customHeight="1">
      <c r="N2360" s="552"/>
      <c r="O2360" s="552"/>
    </row>
    <row r="2361" spans="14:15" ht="30.95" customHeight="1">
      <c r="N2361" s="552"/>
      <c r="O2361" s="552"/>
    </row>
    <row r="2362" spans="14:15" ht="30.95" customHeight="1">
      <c r="N2362" s="552"/>
      <c r="O2362" s="552"/>
    </row>
    <row r="2363" spans="14:15" ht="30.95" customHeight="1">
      <c r="N2363" s="552"/>
      <c r="O2363" s="552"/>
    </row>
    <row r="2364" spans="14:15" ht="30.95" customHeight="1">
      <c r="N2364" s="552"/>
      <c r="O2364" s="552"/>
    </row>
    <row r="2365" spans="14:15" ht="30.95" customHeight="1">
      <c r="N2365" s="552"/>
      <c r="O2365" s="552"/>
    </row>
    <row r="2366" spans="14:15" ht="30.95" customHeight="1">
      <c r="N2366" s="552"/>
      <c r="O2366" s="552"/>
    </row>
    <row r="2367" spans="14:15" ht="30.95" customHeight="1">
      <c r="N2367" s="552"/>
      <c r="O2367" s="552"/>
    </row>
    <row r="2368" spans="14:15" ht="30.95" customHeight="1">
      <c r="N2368" s="552"/>
      <c r="O2368" s="552"/>
    </row>
    <row r="2369" spans="14:15" ht="30.95" customHeight="1">
      <c r="N2369" s="552"/>
      <c r="O2369" s="552"/>
    </row>
    <row r="2370" spans="14:15" ht="30.95" customHeight="1">
      <c r="N2370" s="552"/>
      <c r="O2370" s="552"/>
    </row>
    <row r="2371" spans="14:15" ht="30.95" customHeight="1">
      <c r="N2371" s="552"/>
      <c r="O2371" s="552"/>
    </row>
    <row r="2372" spans="14:15" ht="30.95" customHeight="1">
      <c r="N2372" s="552"/>
      <c r="O2372" s="552"/>
    </row>
    <row r="2373" spans="14:15" ht="30.95" customHeight="1">
      <c r="N2373" s="552"/>
      <c r="O2373" s="552"/>
    </row>
    <row r="2374" spans="14:15" ht="30.95" customHeight="1">
      <c r="N2374" s="552"/>
      <c r="O2374" s="552"/>
    </row>
    <row r="2375" spans="14:15" ht="30.95" customHeight="1">
      <c r="N2375" s="552"/>
      <c r="O2375" s="552"/>
    </row>
    <row r="2376" spans="14:15" ht="30.95" customHeight="1">
      <c r="N2376" s="552"/>
      <c r="O2376" s="552"/>
    </row>
    <row r="2377" spans="14:15" ht="30.95" customHeight="1">
      <c r="N2377" s="552"/>
      <c r="O2377" s="552"/>
    </row>
    <row r="2378" spans="14:15" ht="30.95" customHeight="1">
      <c r="N2378" s="552"/>
      <c r="O2378" s="552"/>
    </row>
    <row r="2379" spans="14:15" ht="30.95" customHeight="1">
      <c r="N2379" s="552"/>
      <c r="O2379" s="552"/>
    </row>
    <row r="2380" spans="14:15" ht="30.95" customHeight="1">
      <c r="N2380" s="552"/>
      <c r="O2380" s="552"/>
    </row>
    <row r="2381" spans="14:15" ht="30.95" customHeight="1">
      <c r="N2381" s="552"/>
      <c r="O2381" s="552"/>
    </row>
    <row r="2382" spans="14:15" ht="30.95" customHeight="1">
      <c r="N2382" s="552"/>
      <c r="O2382" s="552"/>
    </row>
    <row r="2383" spans="14:15" ht="30.95" customHeight="1">
      <c r="N2383" s="552"/>
      <c r="O2383" s="552"/>
    </row>
    <row r="2384" spans="14:15" ht="30.95" customHeight="1">
      <c r="N2384" s="552"/>
      <c r="O2384" s="552"/>
    </row>
    <row r="2385" spans="14:15" ht="30.95" customHeight="1">
      <c r="N2385" s="552"/>
      <c r="O2385" s="552"/>
    </row>
    <row r="2386" spans="14:15" ht="30.95" customHeight="1">
      <c r="N2386" s="552"/>
      <c r="O2386" s="552"/>
    </row>
    <row r="2387" spans="14:15" ht="30.95" customHeight="1">
      <c r="N2387" s="552"/>
      <c r="O2387" s="552"/>
    </row>
    <row r="2388" spans="14:15" ht="30.95" customHeight="1">
      <c r="N2388" s="552"/>
      <c r="O2388" s="552"/>
    </row>
    <row r="2389" spans="14:15" ht="30.95" customHeight="1">
      <c r="N2389" s="552"/>
      <c r="O2389" s="552"/>
    </row>
    <row r="2390" spans="14:15" ht="30.95" customHeight="1">
      <c r="N2390" s="552"/>
      <c r="O2390" s="552"/>
    </row>
    <row r="2391" spans="14:15" ht="30.95" customHeight="1">
      <c r="N2391" s="552"/>
      <c r="O2391" s="552"/>
    </row>
    <row r="2392" spans="14:15" ht="30.95" customHeight="1">
      <c r="N2392" s="552"/>
      <c r="O2392" s="552"/>
    </row>
    <row r="2393" spans="14:15" ht="30.95" customHeight="1">
      <c r="N2393" s="552"/>
      <c r="O2393" s="552"/>
    </row>
    <row r="2394" spans="14:15" ht="30.95" customHeight="1">
      <c r="N2394" s="552"/>
      <c r="O2394" s="552"/>
    </row>
    <row r="2395" spans="14:15" ht="30.95" customHeight="1">
      <c r="N2395" s="552"/>
      <c r="O2395" s="552"/>
    </row>
    <row r="2396" spans="14:15" ht="30.95" customHeight="1">
      <c r="N2396" s="552"/>
      <c r="O2396" s="552"/>
    </row>
    <row r="2397" spans="14:15" ht="30.95" customHeight="1">
      <c r="N2397" s="552"/>
      <c r="O2397" s="552"/>
    </row>
    <row r="2398" spans="14:15" ht="30.95" customHeight="1">
      <c r="N2398" s="552"/>
      <c r="O2398" s="552"/>
    </row>
    <row r="2399" spans="14:15" ht="30.95" customHeight="1">
      <c r="N2399" s="552"/>
      <c r="O2399" s="552"/>
    </row>
    <row r="2400" spans="14:15" ht="30.95" customHeight="1">
      <c r="N2400" s="552"/>
      <c r="O2400" s="552"/>
    </row>
    <row r="2401" spans="14:15" ht="30.95" customHeight="1">
      <c r="N2401" s="552"/>
      <c r="O2401" s="552"/>
    </row>
    <row r="2402" spans="14:15" ht="30.95" customHeight="1">
      <c r="N2402" s="552"/>
      <c r="O2402" s="552"/>
    </row>
    <row r="2403" spans="14:15" ht="30.95" customHeight="1">
      <c r="N2403" s="552"/>
      <c r="O2403" s="552"/>
    </row>
    <row r="2404" spans="14:15" ht="30.95" customHeight="1">
      <c r="N2404" s="552"/>
      <c r="O2404" s="552"/>
    </row>
    <row r="2405" spans="14:15" ht="30.95" customHeight="1">
      <c r="N2405" s="552"/>
      <c r="O2405" s="552"/>
    </row>
    <row r="2406" spans="14:15" ht="30.95" customHeight="1">
      <c r="N2406" s="552"/>
      <c r="O2406" s="552"/>
    </row>
    <row r="2407" spans="14:15" ht="30.95" customHeight="1">
      <c r="N2407" s="552"/>
      <c r="O2407" s="552"/>
    </row>
    <row r="2408" spans="14:15" ht="30.95" customHeight="1">
      <c r="N2408" s="552"/>
      <c r="O2408" s="552"/>
    </row>
    <row r="2409" spans="14:15" ht="30.95" customHeight="1">
      <c r="N2409" s="552"/>
      <c r="O2409" s="552"/>
    </row>
    <row r="2410" spans="14:15" ht="30.95" customHeight="1">
      <c r="N2410" s="552"/>
      <c r="O2410" s="552"/>
    </row>
    <row r="2411" spans="14:15" ht="30.95" customHeight="1">
      <c r="N2411" s="552"/>
      <c r="O2411" s="552"/>
    </row>
    <row r="2412" spans="14:15" ht="30.95" customHeight="1">
      <c r="N2412" s="552"/>
      <c r="O2412" s="552"/>
    </row>
    <row r="2413" spans="14:15" ht="30.95" customHeight="1">
      <c r="N2413" s="552"/>
      <c r="O2413" s="552"/>
    </row>
    <row r="2414" spans="14:15" ht="30.95" customHeight="1">
      <c r="N2414" s="552"/>
      <c r="O2414" s="552"/>
    </row>
    <row r="2415" spans="14:15" ht="30.95" customHeight="1">
      <c r="N2415" s="552"/>
      <c r="O2415" s="552"/>
    </row>
    <row r="2416" spans="14:15" ht="30.95" customHeight="1">
      <c r="N2416" s="552"/>
      <c r="O2416" s="552"/>
    </row>
    <row r="2417" spans="14:15" ht="30.95" customHeight="1">
      <c r="N2417" s="552"/>
      <c r="O2417" s="552"/>
    </row>
    <row r="2418" spans="14:15" ht="30.95" customHeight="1">
      <c r="N2418" s="552"/>
      <c r="O2418" s="552"/>
    </row>
    <row r="2419" spans="14:15" ht="30.95" customHeight="1">
      <c r="N2419" s="552"/>
      <c r="O2419" s="552"/>
    </row>
    <row r="2420" spans="14:15" ht="30.95" customHeight="1">
      <c r="N2420" s="552"/>
      <c r="O2420" s="552"/>
    </row>
    <row r="2421" spans="14:15" ht="30.95" customHeight="1">
      <c r="N2421" s="552"/>
      <c r="O2421" s="552"/>
    </row>
    <row r="2422" spans="14:15" ht="30.95" customHeight="1">
      <c r="N2422" s="552"/>
      <c r="O2422" s="552"/>
    </row>
    <row r="2423" spans="14:15" ht="30.95" customHeight="1">
      <c r="N2423" s="552"/>
      <c r="O2423" s="552"/>
    </row>
    <row r="2424" spans="14:15" ht="30.95" customHeight="1">
      <c r="N2424" s="552"/>
      <c r="O2424" s="552"/>
    </row>
    <row r="2425" spans="14:15" ht="30.95" customHeight="1">
      <c r="N2425" s="552"/>
      <c r="O2425" s="552"/>
    </row>
    <row r="2426" spans="14:15" ht="30.95" customHeight="1">
      <c r="N2426" s="552"/>
      <c r="O2426" s="552"/>
    </row>
    <row r="2427" spans="14:15" ht="30.95" customHeight="1">
      <c r="N2427" s="552"/>
      <c r="O2427" s="552"/>
    </row>
    <row r="2428" spans="14:15" ht="30.95" customHeight="1">
      <c r="N2428" s="552"/>
      <c r="O2428" s="552"/>
    </row>
    <row r="2429" spans="14:15" ht="30.95" customHeight="1">
      <c r="N2429" s="552"/>
      <c r="O2429" s="552"/>
    </row>
    <row r="2430" spans="14:15" ht="30.95" customHeight="1">
      <c r="N2430" s="552"/>
      <c r="O2430" s="552"/>
    </row>
    <row r="2431" spans="14:15" ht="30.95" customHeight="1">
      <c r="N2431" s="552"/>
      <c r="O2431" s="552"/>
    </row>
    <row r="2432" spans="14:15" ht="30.95" customHeight="1">
      <c r="N2432" s="552"/>
      <c r="O2432" s="552"/>
    </row>
    <row r="2433" spans="14:15" ht="30.95" customHeight="1">
      <c r="N2433" s="552"/>
      <c r="O2433" s="552"/>
    </row>
    <row r="2434" spans="14:15" ht="30.95" customHeight="1">
      <c r="N2434" s="552"/>
      <c r="O2434" s="552"/>
    </row>
    <row r="2435" spans="14:15" ht="30.95" customHeight="1">
      <c r="N2435" s="552"/>
      <c r="O2435" s="552"/>
    </row>
    <row r="2436" spans="14:15" ht="30.95" customHeight="1">
      <c r="N2436" s="552"/>
      <c r="O2436" s="552"/>
    </row>
    <row r="2437" spans="14:15" ht="30.95" customHeight="1">
      <c r="N2437" s="552"/>
      <c r="O2437" s="552"/>
    </row>
    <row r="2438" spans="14:15" ht="30.95" customHeight="1">
      <c r="N2438" s="552"/>
      <c r="O2438" s="552"/>
    </row>
  </sheetData>
  <phoneticPr fontId="0" type="noConversion"/>
  <printOptions gridLines="1"/>
  <pageMargins left="0.72" right="0.33" top="0.87" bottom="0.5" header="0.17" footer="0.16"/>
  <pageSetup scale="50" orientation="portrait" r:id="rId1"/>
  <headerFooter alignWithMargins="0">
    <oddHeader>&amp;C&amp;"Algerian,Bold"&amp;28WASAARADDA GANACSIGA IYO MAAL-GASHIGA CAALAMIGA AH</oddHeader>
    <oddFooter>&amp;R&amp;"Times New Roman,Bold"&amp;14 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topLeftCell="I49" zoomScale="58" zoomScaleNormal="100" zoomScaleSheetLayoutView="58" workbookViewId="0">
      <selection activeCell="P34" sqref="P34"/>
    </sheetView>
  </sheetViews>
  <sheetFormatPr defaultColWidth="35.33203125" defaultRowHeight="30.95" customHeight="1"/>
  <cols>
    <col min="1" max="1" width="14" style="766" customWidth="1"/>
    <col min="2" max="2" width="11.83203125" style="797" customWidth="1"/>
    <col min="3" max="3" width="106.33203125" style="797" customWidth="1"/>
    <col min="4" max="4" width="41" style="797" bestFit="1" customWidth="1"/>
    <col min="5" max="5" width="41" style="797" customWidth="1"/>
    <col min="6" max="7" width="41" style="797" bestFit="1" customWidth="1"/>
    <col min="8" max="15" width="38.33203125" style="797" bestFit="1" customWidth="1"/>
    <col min="16" max="16" width="38.33203125" style="797" customWidth="1"/>
    <col min="17" max="17" width="45" style="797" bestFit="1" customWidth="1"/>
    <col min="18" max="16384" width="35.33203125" style="797"/>
  </cols>
  <sheetData>
    <row r="1" spans="1:17" ht="30.95" customHeight="1">
      <c r="A1" s="792" t="s">
        <v>1080</v>
      </c>
      <c r="B1" s="793" t="s">
        <v>40</v>
      </c>
      <c r="C1" s="794"/>
      <c r="D1" s="795">
        <v>210</v>
      </c>
      <c r="E1" s="795">
        <v>212</v>
      </c>
      <c r="F1" s="795">
        <v>2210</v>
      </c>
      <c r="G1" s="795">
        <v>2220</v>
      </c>
      <c r="H1" s="795">
        <v>2230</v>
      </c>
      <c r="I1" s="795">
        <v>2710</v>
      </c>
      <c r="J1" s="795">
        <v>2720</v>
      </c>
      <c r="K1" s="795">
        <v>2510</v>
      </c>
      <c r="L1" s="795">
        <v>2630</v>
      </c>
      <c r="M1" s="795">
        <v>2650</v>
      </c>
      <c r="N1" s="795">
        <v>2660</v>
      </c>
      <c r="O1" s="795">
        <v>2810</v>
      </c>
      <c r="P1" s="795">
        <v>29320</v>
      </c>
      <c r="Q1" s="796" t="s">
        <v>59</v>
      </c>
    </row>
    <row r="2" spans="1:17" ht="30.95" customHeight="1">
      <c r="A2" s="798">
        <v>1</v>
      </c>
      <c r="B2" s="799" t="s">
        <v>1034</v>
      </c>
      <c r="C2" s="800" t="s">
        <v>91</v>
      </c>
      <c r="D2" s="801">
        <f>'011-012'!L7</f>
        <v>819000000</v>
      </c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>
        <f t="shared" ref="Q2:Q8" si="0">SUM(D2:O2)</f>
        <v>819000000</v>
      </c>
    </row>
    <row r="3" spans="1:17" ht="30.95" customHeight="1">
      <c r="A3" s="798">
        <v>1</v>
      </c>
      <c r="B3" s="799" t="s">
        <v>1035</v>
      </c>
      <c r="C3" s="800" t="s">
        <v>90</v>
      </c>
      <c r="D3" s="801">
        <f>'011-012'!L21</f>
        <v>585000000</v>
      </c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>
        <f t="shared" si="0"/>
        <v>585000000</v>
      </c>
    </row>
    <row r="4" spans="1:17" ht="30.95" customHeight="1">
      <c r="A4" s="798">
        <v>2</v>
      </c>
      <c r="B4" s="799" t="s">
        <v>1037</v>
      </c>
      <c r="C4" s="800" t="s">
        <v>934</v>
      </c>
      <c r="D4" s="801">
        <f>'013'!O10</f>
        <v>842426880</v>
      </c>
      <c r="E4" s="801"/>
      <c r="F4" s="801">
        <f>'013'!O22</f>
        <v>668400000</v>
      </c>
      <c r="G4" s="801">
        <f>'013'!O28</f>
        <v>250000000.19999999</v>
      </c>
      <c r="H4" s="801">
        <f>'013'!O33</f>
        <v>60000000</v>
      </c>
      <c r="I4" s="801"/>
      <c r="J4" s="801"/>
      <c r="K4" s="801"/>
      <c r="L4" s="801"/>
      <c r="M4" s="801"/>
      <c r="N4" s="801"/>
      <c r="O4" s="801"/>
      <c r="P4" s="801"/>
      <c r="Q4" s="801">
        <f t="shared" si="0"/>
        <v>1820826880.2</v>
      </c>
    </row>
    <row r="5" spans="1:17" ht="30.95" customHeight="1">
      <c r="A5" s="798">
        <v>3</v>
      </c>
      <c r="B5" s="799" t="s">
        <v>1038</v>
      </c>
      <c r="C5" s="800" t="s">
        <v>88</v>
      </c>
      <c r="D5" s="801">
        <f>'021'!S11</f>
        <v>21966922752</v>
      </c>
      <c r="E5" s="801"/>
      <c r="F5" s="801">
        <f>'021'!S28</f>
        <v>4537000000</v>
      </c>
      <c r="G5" s="801">
        <f>'021'!S34</f>
        <v>670000000</v>
      </c>
      <c r="H5" s="801">
        <f>'021'!S39</f>
        <v>350000000</v>
      </c>
      <c r="I5" s="801">
        <f>'021'!S45</f>
        <v>500000000</v>
      </c>
      <c r="J5" s="801">
        <v>0</v>
      </c>
      <c r="K5" s="801"/>
      <c r="L5" s="801"/>
      <c r="M5" s="801"/>
      <c r="N5" s="801"/>
      <c r="O5" s="801">
        <f>'021'!S51</f>
        <v>1073000000</v>
      </c>
      <c r="P5" s="801"/>
      <c r="Q5" s="801">
        <f t="shared" si="0"/>
        <v>29096922752</v>
      </c>
    </row>
    <row r="6" spans="1:17" ht="30.95" customHeight="1">
      <c r="A6" s="798">
        <v>4</v>
      </c>
      <c r="B6" s="799" t="s">
        <v>1036</v>
      </c>
      <c r="C6" s="800" t="s">
        <v>89</v>
      </c>
      <c r="D6" s="801">
        <f>'031'!R12</f>
        <v>20839804096</v>
      </c>
      <c r="E6" s="801"/>
      <c r="F6" s="801">
        <f>'031'!R30</f>
        <v>4194900000</v>
      </c>
      <c r="G6" s="801">
        <f>'031'!R36</f>
        <v>850000000</v>
      </c>
      <c r="H6" s="801">
        <f>'031'!R41</f>
        <v>500000000</v>
      </c>
      <c r="I6" s="801">
        <f>'031'!R48</f>
        <v>275000000</v>
      </c>
      <c r="J6" s="801">
        <f>'031'!R51</f>
        <v>700000000</v>
      </c>
      <c r="K6" s="801">
        <v>0</v>
      </c>
      <c r="L6" s="801"/>
      <c r="M6" s="801"/>
      <c r="N6" s="801"/>
      <c r="O6" s="801">
        <f>'031'!R54</f>
        <v>200000000</v>
      </c>
      <c r="P6" s="801"/>
      <c r="Q6" s="801">
        <f t="shared" si="0"/>
        <v>27559704096</v>
      </c>
    </row>
    <row r="7" spans="1:17" ht="30.95" customHeight="1">
      <c r="A7" s="798">
        <v>5</v>
      </c>
      <c r="B7" s="799" t="s">
        <v>1039</v>
      </c>
      <c r="C7" s="800" t="s">
        <v>202</v>
      </c>
      <c r="D7" s="801">
        <f>'041'!R10</f>
        <v>3981892704</v>
      </c>
      <c r="E7" s="801"/>
      <c r="F7" s="801">
        <f>'041'!R26</f>
        <v>915350880</v>
      </c>
      <c r="G7" s="801">
        <f>'041'!R33</f>
        <v>558200000</v>
      </c>
      <c r="H7" s="801">
        <f>'041'!R38</f>
        <v>50827200</v>
      </c>
      <c r="I7" s="801">
        <f>'041'!R46</f>
        <v>150000000</v>
      </c>
      <c r="J7" s="801"/>
      <c r="K7" s="801"/>
      <c r="L7" s="801"/>
      <c r="M7" s="801"/>
      <c r="N7" s="801"/>
      <c r="O7" s="801"/>
      <c r="P7" s="801"/>
      <c r="Q7" s="801">
        <f t="shared" si="0"/>
        <v>5656270784</v>
      </c>
    </row>
    <row r="8" spans="1:17" ht="30.95" customHeight="1">
      <c r="A8" s="798">
        <v>6</v>
      </c>
      <c r="B8" s="799" t="s">
        <v>1040</v>
      </c>
      <c r="C8" s="800" t="s">
        <v>423</v>
      </c>
      <c r="D8" s="801">
        <f>'051'!R11</f>
        <v>5735445120</v>
      </c>
      <c r="E8" s="801"/>
      <c r="F8" s="801">
        <f>'051'!R28</f>
        <v>331950000</v>
      </c>
      <c r="G8" s="801">
        <f>'051'!R35</f>
        <v>468000000</v>
      </c>
      <c r="H8" s="801">
        <f>'051'!R40</f>
        <v>127000000</v>
      </c>
      <c r="I8" s="801">
        <f>'051'!Q43</f>
        <v>0</v>
      </c>
      <c r="J8" s="801">
        <f>'051'!R47</f>
        <v>0</v>
      </c>
      <c r="K8" s="801"/>
      <c r="L8" s="801"/>
      <c r="M8" s="801"/>
      <c r="N8" s="801"/>
      <c r="O8" s="801">
        <f>'051'!R49</f>
        <v>47000000</v>
      </c>
      <c r="P8" s="801"/>
      <c r="Q8" s="801">
        <f t="shared" si="0"/>
        <v>6709395120</v>
      </c>
    </row>
    <row r="9" spans="1:17" ht="30.95" customHeight="1">
      <c r="A9" s="798">
        <v>7</v>
      </c>
      <c r="B9" s="799" t="s">
        <v>1041</v>
      </c>
      <c r="C9" s="800" t="s">
        <v>83</v>
      </c>
      <c r="D9" s="801">
        <f>'061'!R9</f>
        <v>2379501792</v>
      </c>
      <c r="E9" s="801">
        <f>'061'!R14</f>
        <v>2515686400</v>
      </c>
      <c r="F9" s="801">
        <f>'061'!R27</f>
        <v>1602565640</v>
      </c>
      <c r="G9" s="801">
        <f>'061'!R34</f>
        <v>193948560</v>
      </c>
      <c r="H9" s="801">
        <f>'061'!R39</f>
        <v>53890685.399999999</v>
      </c>
      <c r="I9" s="801">
        <f>'061'!R44</f>
        <v>150000000</v>
      </c>
      <c r="J9" s="801">
        <f>'061'!R47</f>
        <v>0</v>
      </c>
      <c r="K9" s="801">
        <v>0</v>
      </c>
      <c r="L9" s="801">
        <f>'061'!R49</f>
        <v>2985665200</v>
      </c>
      <c r="M9" s="801"/>
      <c r="N9" s="801"/>
      <c r="O9" s="801"/>
      <c r="P9" s="801">
        <f>'061'!R53</f>
        <v>14447120340</v>
      </c>
      <c r="Q9" s="801">
        <f>SUM(D9:P9)</f>
        <v>24328378617.400002</v>
      </c>
    </row>
    <row r="10" spans="1:17" ht="30.95" customHeight="1">
      <c r="A10" s="798">
        <v>8</v>
      </c>
      <c r="B10" s="799" t="s">
        <v>1042</v>
      </c>
      <c r="C10" s="800" t="s">
        <v>82</v>
      </c>
      <c r="D10" s="801">
        <f>'071'!S11</f>
        <v>2912374944</v>
      </c>
      <c r="E10" s="801"/>
      <c r="F10" s="801">
        <f>'071'!S27</f>
        <v>1106554400</v>
      </c>
      <c r="G10" s="801">
        <f>'071'!S34</f>
        <v>319224320</v>
      </c>
      <c r="H10" s="801">
        <f>'071'!S39</f>
        <v>116042720</v>
      </c>
      <c r="I10" s="801">
        <f>'071'!S44</f>
        <v>150000000</v>
      </c>
      <c r="J10" s="801">
        <f>'071'!R47</f>
        <v>0</v>
      </c>
      <c r="K10" s="801"/>
      <c r="L10" s="801"/>
      <c r="M10" s="801"/>
      <c r="N10" s="801"/>
      <c r="O10" s="801"/>
      <c r="P10" s="801"/>
      <c r="Q10" s="801">
        <f t="shared" ref="Q10:Q64" si="1">SUM(D10:P10)</f>
        <v>4604196384</v>
      </c>
    </row>
    <row r="11" spans="1:17" ht="30.95" customHeight="1">
      <c r="A11" s="798">
        <v>9</v>
      </c>
      <c r="B11" s="799" t="s">
        <v>1043</v>
      </c>
      <c r="C11" s="800" t="s">
        <v>932</v>
      </c>
      <c r="D11" s="801">
        <f>'081'!Q8</f>
        <v>8031359232</v>
      </c>
      <c r="E11" s="801">
        <f>'081'!Q14</f>
        <v>448410000</v>
      </c>
      <c r="F11" s="801">
        <f>'081'!Q34</f>
        <v>43569630605</v>
      </c>
      <c r="G11" s="801">
        <f>'081'!Q41</f>
        <v>2275163228</v>
      </c>
      <c r="H11" s="801">
        <f>'081'!Q45</f>
        <v>172496800</v>
      </c>
      <c r="I11" s="801">
        <f>'081'!Q52</f>
        <v>37919000</v>
      </c>
      <c r="J11" s="801">
        <v>0</v>
      </c>
      <c r="K11" s="801"/>
      <c r="L11" s="801"/>
      <c r="M11" s="801"/>
      <c r="N11" s="801"/>
      <c r="O11" s="801">
        <f>'081'!Q58</f>
        <v>2000000000</v>
      </c>
      <c r="P11" s="801"/>
      <c r="Q11" s="801">
        <f t="shared" si="1"/>
        <v>56534978865</v>
      </c>
    </row>
    <row r="12" spans="1:17" ht="30.95" customHeight="1">
      <c r="A12" s="798">
        <v>10</v>
      </c>
      <c r="B12" s="799" t="s">
        <v>1044</v>
      </c>
      <c r="C12" s="800" t="s">
        <v>189</v>
      </c>
      <c r="D12" s="801">
        <f>'082'!S9</f>
        <v>7079008568</v>
      </c>
      <c r="E12" s="801">
        <f>'082'!S13</f>
        <v>480000000</v>
      </c>
      <c r="F12" s="801">
        <f>'082'!S27</f>
        <v>1676780000</v>
      </c>
      <c r="G12" s="801">
        <f>'082'!S36</f>
        <v>8878203223</v>
      </c>
      <c r="H12" s="801">
        <f>'082'!S41</f>
        <v>398000000</v>
      </c>
      <c r="I12" s="801">
        <f>'082'!S49</f>
        <v>218000000</v>
      </c>
      <c r="J12" s="801">
        <v>0</v>
      </c>
      <c r="K12" s="801"/>
      <c r="L12" s="801"/>
      <c r="M12" s="801"/>
      <c r="N12" s="801"/>
      <c r="O12" s="801"/>
      <c r="P12" s="801"/>
      <c r="Q12" s="801">
        <f t="shared" si="1"/>
        <v>18729991791</v>
      </c>
    </row>
    <row r="13" spans="1:17" ht="30.95" customHeight="1">
      <c r="A13" s="798">
        <v>11</v>
      </c>
      <c r="B13" s="799" t="s">
        <v>1045</v>
      </c>
      <c r="C13" s="800" t="s">
        <v>487</v>
      </c>
      <c r="D13" s="801">
        <f>'083'!I8</f>
        <v>1289761728</v>
      </c>
      <c r="E13" s="801"/>
      <c r="F13" s="801">
        <f>'083'!I26</f>
        <v>489750000</v>
      </c>
      <c r="G13" s="801">
        <f>'083'!I33</f>
        <v>121600000</v>
      </c>
      <c r="H13" s="801">
        <f>'083'!I37</f>
        <v>41500000</v>
      </c>
      <c r="I13" s="801">
        <f>'083'!I44</f>
        <v>80000000</v>
      </c>
      <c r="J13" s="801">
        <v>0</v>
      </c>
      <c r="K13" s="801"/>
      <c r="L13" s="801"/>
      <c r="M13" s="801"/>
      <c r="N13" s="801"/>
      <c r="O13" s="801"/>
      <c r="P13" s="801"/>
      <c r="Q13" s="801">
        <f t="shared" si="1"/>
        <v>2022611728</v>
      </c>
    </row>
    <row r="14" spans="1:17" ht="30.95" customHeight="1">
      <c r="A14" s="798">
        <v>12</v>
      </c>
      <c r="B14" s="799" t="s">
        <v>1046</v>
      </c>
      <c r="C14" s="800" t="s">
        <v>847</v>
      </c>
      <c r="D14" s="801">
        <f>'084'!S7</f>
        <v>6168790848</v>
      </c>
      <c r="E14" s="801"/>
      <c r="F14" s="801">
        <f>'084'!S22</f>
        <v>2130000000</v>
      </c>
      <c r="G14" s="801">
        <f>'084'!S31</f>
        <v>1966825380</v>
      </c>
      <c r="H14" s="801">
        <f>'084'!S36</f>
        <v>330000000</v>
      </c>
      <c r="I14" s="801">
        <f>'084'!S43</f>
        <v>485000000</v>
      </c>
      <c r="J14" s="801">
        <v>0</v>
      </c>
      <c r="K14" s="801"/>
      <c r="L14" s="801"/>
      <c r="M14" s="801"/>
      <c r="N14" s="801"/>
      <c r="O14" s="801"/>
      <c r="P14" s="801"/>
      <c r="Q14" s="801">
        <f t="shared" si="1"/>
        <v>11080616228</v>
      </c>
    </row>
    <row r="15" spans="1:17" ht="30.95" customHeight="1">
      <c r="A15" s="798">
        <v>13</v>
      </c>
      <c r="B15" s="799" t="s">
        <v>1047</v>
      </c>
      <c r="C15" s="800" t="s">
        <v>848</v>
      </c>
      <c r="D15" s="801">
        <f>'085'!U8</f>
        <v>1000000000</v>
      </c>
      <c r="E15" s="801"/>
      <c r="F15" s="801">
        <f>'085'!U19</f>
        <v>1254550000</v>
      </c>
      <c r="G15" s="801">
        <f>'085'!U25</f>
        <v>0</v>
      </c>
      <c r="H15" s="801">
        <f>'085'!U29</f>
        <v>30000000</v>
      </c>
      <c r="I15" s="801">
        <f>'085'!T34</f>
        <v>0</v>
      </c>
      <c r="J15" s="801">
        <f>'085'!U37</f>
        <v>600000000</v>
      </c>
      <c r="K15" s="801"/>
      <c r="L15" s="801"/>
      <c r="M15" s="801"/>
      <c r="N15" s="801"/>
      <c r="O15" s="801"/>
      <c r="P15" s="801"/>
      <c r="Q15" s="801">
        <f t="shared" si="1"/>
        <v>2884550000</v>
      </c>
    </row>
    <row r="16" spans="1:17" ht="30.95" customHeight="1">
      <c r="A16" s="798">
        <v>14</v>
      </c>
      <c r="B16" s="799" t="s">
        <v>1048</v>
      </c>
      <c r="C16" s="800" t="s">
        <v>121</v>
      </c>
      <c r="D16" s="801">
        <f>'091'!S10</f>
        <v>2561114592</v>
      </c>
      <c r="E16" s="801"/>
      <c r="F16" s="801">
        <f>'091'!S30</f>
        <v>26012303088</v>
      </c>
      <c r="G16" s="801">
        <f>'091'!S36</f>
        <v>674315600</v>
      </c>
      <c r="H16" s="801">
        <f>'091'!S41</f>
        <v>110000000</v>
      </c>
      <c r="I16" s="801">
        <f>'091'!S48</f>
        <v>250000000</v>
      </c>
      <c r="J16" s="801">
        <f>'091'!S51</f>
        <v>600000000</v>
      </c>
      <c r="K16" s="801"/>
      <c r="L16" s="801"/>
      <c r="M16" s="801"/>
      <c r="N16" s="801"/>
      <c r="O16" s="801"/>
      <c r="P16" s="801"/>
      <c r="Q16" s="801">
        <f t="shared" si="1"/>
        <v>30207733280</v>
      </c>
    </row>
    <row r="17" spans="1:17" ht="30.95" customHeight="1">
      <c r="A17" s="798">
        <v>15</v>
      </c>
      <c r="B17" s="802">
        <v>101</v>
      </c>
      <c r="C17" s="800" t="s">
        <v>329</v>
      </c>
      <c r="D17" s="801">
        <f>'101'!S14</f>
        <v>4184498400</v>
      </c>
      <c r="E17" s="801"/>
      <c r="F17" s="801">
        <f>'101'!S27</f>
        <v>937800000</v>
      </c>
      <c r="G17" s="801">
        <f>'101'!S33</f>
        <v>424840000</v>
      </c>
      <c r="H17" s="801">
        <f>'101'!S37</f>
        <v>80000000</v>
      </c>
      <c r="I17" s="801">
        <f>'101'!S44</f>
        <v>0</v>
      </c>
      <c r="J17" s="801">
        <f>'101'!S47</f>
        <v>600000000</v>
      </c>
      <c r="K17" s="801"/>
      <c r="L17" s="801"/>
      <c r="M17" s="801"/>
      <c r="N17" s="801"/>
      <c r="O17" s="801"/>
      <c r="P17" s="801"/>
      <c r="Q17" s="801">
        <f t="shared" si="1"/>
        <v>6227138400</v>
      </c>
    </row>
    <row r="18" spans="1:17" ht="30.95" customHeight="1">
      <c r="A18" s="798">
        <v>16</v>
      </c>
      <c r="B18" s="802">
        <v>102</v>
      </c>
      <c r="C18" s="800" t="s">
        <v>201</v>
      </c>
      <c r="D18" s="801">
        <f>'102'!T7</f>
        <v>22825629440</v>
      </c>
      <c r="E18" s="801">
        <f>'102'!T13</f>
        <v>300000000</v>
      </c>
      <c r="F18" s="801">
        <f>'102'!T27</f>
        <v>762739040</v>
      </c>
      <c r="G18" s="801">
        <f>'102'!T36</f>
        <v>18941428680</v>
      </c>
      <c r="H18" s="801">
        <f>'102'!T40</f>
        <v>598596470</v>
      </c>
      <c r="I18" s="801">
        <f>'102'!T47</f>
        <v>421000000</v>
      </c>
      <c r="J18" s="801">
        <f>'102'!T52</f>
        <v>4500000000</v>
      </c>
      <c r="K18" s="801">
        <f>'102'!T55</f>
        <v>90000000</v>
      </c>
      <c r="L18" s="801"/>
      <c r="M18" s="801"/>
      <c r="N18" s="801"/>
      <c r="O18" s="801">
        <v>0</v>
      </c>
      <c r="P18" s="801"/>
      <c r="Q18" s="801">
        <f t="shared" si="1"/>
        <v>48439393630</v>
      </c>
    </row>
    <row r="19" spans="1:17" ht="30.95" customHeight="1">
      <c r="A19" s="798">
        <v>17</v>
      </c>
      <c r="B19" s="802">
        <v>103</v>
      </c>
      <c r="C19" s="800" t="s">
        <v>200</v>
      </c>
      <c r="D19" s="801">
        <f>'103'!R9</f>
        <v>17103777312</v>
      </c>
      <c r="E19" s="801"/>
      <c r="F19" s="801">
        <f>'103'!R28</f>
        <v>737408800</v>
      </c>
      <c r="G19" s="801">
        <f>'103'!R34</f>
        <v>709500000</v>
      </c>
      <c r="H19" s="801">
        <f>'103'!R39</f>
        <v>134000000</v>
      </c>
      <c r="I19" s="801">
        <f>'103'!R46</f>
        <v>0</v>
      </c>
      <c r="J19" s="801">
        <v>0</v>
      </c>
      <c r="K19" s="801"/>
      <c r="L19" s="801"/>
      <c r="M19" s="801"/>
      <c r="N19" s="801"/>
      <c r="O19" s="801"/>
      <c r="P19" s="801"/>
      <c r="Q19" s="801">
        <f t="shared" si="1"/>
        <v>18684686112</v>
      </c>
    </row>
    <row r="20" spans="1:17" ht="30.95" customHeight="1">
      <c r="A20" s="798">
        <v>18</v>
      </c>
      <c r="B20" s="802">
        <v>104</v>
      </c>
      <c r="C20" s="800" t="s">
        <v>194</v>
      </c>
      <c r="D20" s="801">
        <f>'104'!T11</f>
        <v>2491505760</v>
      </c>
      <c r="E20" s="801"/>
      <c r="F20" s="801">
        <f>'104'!T26</f>
        <v>318200000</v>
      </c>
      <c r="G20" s="801">
        <f>'104'!T33</f>
        <v>184600000</v>
      </c>
      <c r="H20" s="801">
        <f>'104'!T38</f>
        <v>70000000</v>
      </c>
      <c r="I20" s="801">
        <f>'104'!T42</f>
        <v>0</v>
      </c>
      <c r="J20" s="801">
        <v>0</v>
      </c>
      <c r="K20" s="801">
        <v>0</v>
      </c>
      <c r="L20" s="801"/>
      <c r="M20" s="801"/>
      <c r="N20" s="801"/>
      <c r="O20" s="801">
        <f>'104'!S48</f>
        <v>0</v>
      </c>
      <c r="P20" s="801"/>
      <c r="Q20" s="801">
        <f t="shared" si="1"/>
        <v>3064305760</v>
      </c>
    </row>
    <row r="21" spans="1:17" ht="30.95" customHeight="1">
      <c r="A21" s="798">
        <v>19</v>
      </c>
      <c r="B21" s="802">
        <v>105</v>
      </c>
      <c r="C21" s="800" t="s">
        <v>195</v>
      </c>
      <c r="D21" s="801">
        <f>'105'!T10</f>
        <v>912991296</v>
      </c>
      <c r="E21" s="801"/>
      <c r="F21" s="801">
        <f>'105'!T21</f>
        <v>1798200000</v>
      </c>
      <c r="G21" s="801">
        <f>'105'!T26</f>
        <v>83400000</v>
      </c>
      <c r="H21" s="801">
        <f>'105'!T31</f>
        <v>36000000</v>
      </c>
      <c r="I21" s="801">
        <f>'105'!T36</f>
        <v>120000000</v>
      </c>
      <c r="J21" s="801"/>
      <c r="K21" s="801"/>
      <c r="L21" s="801"/>
      <c r="M21" s="801"/>
      <c r="N21" s="801"/>
      <c r="O21" s="801"/>
      <c r="P21" s="801"/>
      <c r="Q21" s="801">
        <f t="shared" si="1"/>
        <v>2950591296</v>
      </c>
    </row>
    <row r="22" spans="1:17" ht="30.95" customHeight="1">
      <c r="A22" s="798">
        <v>20</v>
      </c>
      <c r="B22" s="802">
        <v>111</v>
      </c>
      <c r="C22" s="800" t="s">
        <v>112</v>
      </c>
      <c r="D22" s="801">
        <f>'111'!S9</f>
        <v>11273402016</v>
      </c>
      <c r="E22" s="801"/>
      <c r="F22" s="801">
        <f>'111'!S25</f>
        <v>16398346231</v>
      </c>
      <c r="G22" s="801">
        <f>'111'!S31</f>
        <v>1051883680</v>
      </c>
      <c r="H22" s="801">
        <f>'111'!S36</f>
        <v>133267916</v>
      </c>
      <c r="I22" s="801">
        <f>'111'!S43</f>
        <v>50000000</v>
      </c>
      <c r="J22" s="801">
        <v>0</v>
      </c>
      <c r="K22" s="801"/>
      <c r="L22" s="801"/>
      <c r="M22" s="801"/>
      <c r="N22" s="801"/>
      <c r="O22" s="801">
        <f>'111'!S49</f>
        <v>620000000</v>
      </c>
      <c r="P22" s="801"/>
      <c r="Q22" s="801">
        <f t="shared" si="1"/>
        <v>29526899843</v>
      </c>
    </row>
    <row r="23" spans="1:17" ht="30.95" customHeight="1">
      <c r="A23" s="798">
        <v>21</v>
      </c>
      <c r="B23" s="802">
        <v>112</v>
      </c>
      <c r="C23" s="800" t="s">
        <v>197</v>
      </c>
      <c r="D23" s="801">
        <f>'112'!U6</f>
        <v>70544607392</v>
      </c>
      <c r="E23" s="801">
        <f>'112'!U9</f>
        <v>300000000</v>
      </c>
      <c r="F23" s="801">
        <f>'112'!U26</f>
        <v>2019138363</v>
      </c>
      <c r="G23" s="801">
        <f>'112'!U35</f>
        <v>19961032000</v>
      </c>
      <c r="H23" s="801">
        <f>'112'!U40</f>
        <v>1150000000</v>
      </c>
      <c r="I23" s="801">
        <f>'112'!U48</f>
        <v>650000000</v>
      </c>
      <c r="J23" s="801">
        <v>0</v>
      </c>
      <c r="K23" s="801">
        <f>'112'!U51</f>
        <v>100000000</v>
      </c>
      <c r="L23" s="801">
        <v>0</v>
      </c>
      <c r="M23" s="801">
        <v>0</v>
      </c>
      <c r="N23" s="801">
        <v>0</v>
      </c>
      <c r="O23" s="801">
        <f>'112'!U54</f>
        <v>350000000</v>
      </c>
      <c r="P23" s="801"/>
      <c r="Q23" s="801">
        <f t="shared" si="1"/>
        <v>95074777755</v>
      </c>
    </row>
    <row r="24" spans="1:17" ht="30.95" customHeight="1">
      <c r="A24" s="798">
        <v>22</v>
      </c>
      <c r="B24" s="802">
        <v>113</v>
      </c>
      <c r="C24" s="800" t="s">
        <v>72</v>
      </c>
      <c r="D24" s="801">
        <f>'113'!O9</f>
        <v>8236088604</v>
      </c>
      <c r="E24" s="801">
        <f>'113'!O12</f>
        <v>15640799.999999998</v>
      </c>
      <c r="F24" s="801">
        <f>'113'!O24</f>
        <v>344529456</v>
      </c>
      <c r="G24" s="801">
        <f>'113'!O31</f>
        <v>3698530160</v>
      </c>
      <c r="H24" s="801">
        <f>'113'!O35</f>
        <v>307385066</v>
      </c>
      <c r="I24" s="801">
        <f>'113'!O43</f>
        <v>2100000000</v>
      </c>
      <c r="J24" s="801"/>
      <c r="K24" s="801">
        <f>'113'!O46</f>
        <v>28000000</v>
      </c>
      <c r="L24" s="801"/>
      <c r="M24" s="801"/>
      <c r="N24" s="801"/>
      <c r="O24" s="801">
        <f>'113'!O49</f>
        <v>102000000</v>
      </c>
      <c r="P24" s="801"/>
      <c r="Q24" s="801">
        <f t="shared" si="1"/>
        <v>14832174086</v>
      </c>
    </row>
    <row r="25" spans="1:17" ht="30.95" customHeight="1">
      <c r="A25" s="798">
        <v>23</v>
      </c>
      <c r="B25" s="802">
        <v>114</v>
      </c>
      <c r="C25" s="800" t="s">
        <v>81</v>
      </c>
      <c r="D25" s="803">
        <f>'114'!R8</f>
        <v>847680288</v>
      </c>
      <c r="E25" s="803"/>
      <c r="F25" s="801">
        <f>'114'!R23</f>
        <v>417000000</v>
      </c>
      <c r="G25" s="801">
        <f>'114'!R29</f>
        <v>209384480</v>
      </c>
      <c r="H25" s="801">
        <f>'114'!R33</f>
        <v>37968250</v>
      </c>
      <c r="I25" s="801">
        <f>'114'!R40</f>
        <v>150000000</v>
      </c>
      <c r="J25" s="801">
        <v>0</v>
      </c>
      <c r="K25" s="801">
        <v>0</v>
      </c>
      <c r="L25" s="801">
        <v>0</v>
      </c>
      <c r="M25" s="801"/>
      <c r="N25" s="801"/>
      <c r="O25" s="801"/>
      <c r="P25" s="801"/>
      <c r="Q25" s="801">
        <f t="shared" si="1"/>
        <v>1662033018</v>
      </c>
    </row>
    <row r="26" spans="1:17" ht="30.95" customHeight="1">
      <c r="A26" s="798">
        <v>24</v>
      </c>
      <c r="B26" s="802">
        <v>115</v>
      </c>
      <c r="C26" s="800" t="s">
        <v>139</v>
      </c>
      <c r="D26" s="801">
        <f>'115'!Q9</f>
        <v>3898171584</v>
      </c>
      <c r="E26" s="801">
        <f>'115'!Q12</f>
        <v>7000000</v>
      </c>
      <c r="F26" s="801">
        <f>'115'!Q27</f>
        <v>945900000</v>
      </c>
      <c r="G26" s="801">
        <f>'115'!Q35</f>
        <v>1635767552</v>
      </c>
      <c r="H26" s="801">
        <f>'115'!Q39</f>
        <v>103500000</v>
      </c>
      <c r="I26" s="801">
        <f>'115'!Q47</f>
        <v>444000000</v>
      </c>
      <c r="J26" s="801"/>
      <c r="K26" s="801"/>
      <c r="L26" s="801"/>
      <c r="M26" s="801"/>
      <c r="N26" s="801"/>
      <c r="O26" s="801"/>
      <c r="P26" s="801"/>
      <c r="Q26" s="801">
        <f t="shared" si="1"/>
        <v>7034339136</v>
      </c>
    </row>
    <row r="27" spans="1:17" ht="30.95" customHeight="1">
      <c r="A27" s="798">
        <v>25</v>
      </c>
      <c r="B27" s="802">
        <v>116</v>
      </c>
      <c r="C27" s="800" t="s">
        <v>1300</v>
      </c>
      <c r="D27" s="801">
        <f>'116'!R8</f>
        <v>5304115200</v>
      </c>
      <c r="E27" s="801"/>
      <c r="F27" s="801">
        <f>'116'!R24</f>
        <v>606000000</v>
      </c>
      <c r="G27" s="801">
        <f>'116'!R29</f>
        <v>1337300000</v>
      </c>
      <c r="H27" s="801">
        <f>'116'!R33</f>
        <v>500000000</v>
      </c>
      <c r="I27" s="801">
        <f>'116'!R40</f>
        <v>1800000000</v>
      </c>
      <c r="J27" s="801">
        <f>'116'!R45</f>
        <v>3200000000</v>
      </c>
      <c r="K27" s="801"/>
      <c r="L27" s="801"/>
      <c r="M27" s="801"/>
      <c r="N27" s="801"/>
      <c r="O27" s="801"/>
      <c r="P27" s="801"/>
      <c r="Q27" s="801">
        <f t="shared" si="1"/>
        <v>12747415200</v>
      </c>
    </row>
    <row r="28" spans="1:17" ht="30.95" customHeight="1">
      <c r="A28" s="798">
        <v>26</v>
      </c>
      <c r="B28" s="802">
        <v>117</v>
      </c>
      <c r="C28" s="800" t="s">
        <v>1301</v>
      </c>
      <c r="D28" s="801">
        <f>'117'!R8</f>
        <v>557860704</v>
      </c>
      <c r="E28" s="801"/>
      <c r="F28" s="801">
        <f>'117'!R23</f>
        <v>347500000</v>
      </c>
      <c r="G28" s="801">
        <f>'117'!R29</f>
        <v>112800000</v>
      </c>
      <c r="H28" s="801">
        <f>'117'!R33</f>
        <v>67500000</v>
      </c>
      <c r="I28" s="801">
        <f>'117'!Q40</f>
        <v>0</v>
      </c>
      <c r="J28" s="801"/>
      <c r="K28" s="801"/>
      <c r="L28" s="801"/>
      <c r="M28" s="801"/>
      <c r="N28" s="801"/>
      <c r="O28" s="801"/>
      <c r="P28" s="801"/>
      <c r="Q28" s="801">
        <f t="shared" si="1"/>
        <v>1085660704</v>
      </c>
    </row>
    <row r="29" spans="1:17" ht="30.95" customHeight="1">
      <c r="A29" s="798">
        <v>27</v>
      </c>
      <c r="B29" s="802">
        <v>121</v>
      </c>
      <c r="C29" s="800" t="s">
        <v>866</v>
      </c>
      <c r="D29" s="801">
        <f>'121'!S11</f>
        <v>13378035744</v>
      </c>
      <c r="E29" s="801"/>
      <c r="F29" s="801">
        <f>'121'!S30</f>
        <v>13584028432</v>
      </c>
      <c r="G29" s="801">
        <f>'121'!S39</f>
        <v>5313495200</v>
      </c>
      <c r="H29" s="801">
        <f>'121'!S43</f>
        <v>500000000</v>
      </c>
      <c r="I29" s="801">
        <f>'121'!S51</f>
        <v>3477764000</v>
      </c>
      <c r="J29" s="801">
        <v>0</v>
      </c>
      <c r="K29" s="801"/>
      <c r="L29" s="801">
        <f>'121'!S58</f>
        <v>2094725600</v>
      </c>
      <c r="M29" s="801"/>
      <c r="N29" s="801"/>
      <c r="O29" s="801"/>
      <c r="P29" s="801"/>
      <c r="Q29" s="801">
        <f t="shared" si="1"/>
        <v>38348048976</v>
      </c>
    </row>
    <row r="30" spans="1:17" ht="30.95" customHeight="1">
      <c r="A30" s="798">
        <v>28</v>
      </c>
      <c r="B30" s="802">
        <v>131</v>
      </c>
      <c r="C30" s="800" t="s">
        <v>199</v>
      </c>
      <c r="D30" s="801">
        <f>'131'!S10</f>
        <v>1816797984</v>
      </c>
      <c r="E30" s="801"/>
      <c r="F30" s="801">
        <f>'131'!S23</f>
        <v>595967200</v>
      </c>
      <c r="G30" s="801">
        <f>'131'!S29</f>
        <v>338901990</v>
      </c>
      <c r="H30" s="801">
        <f>'131'!S33</f>
        <v>94564080</v>
      </c>
      <c r="I30" s="801">
        <f>'131'!S39</f>
        <v>240000000</v>
      </c>
      <c r="J30" s="801">
        <v>0</v>
      </c>
      <c r="K30" s="801"/>
      <c r="L30" s="801"/>
      <c r="M30" s="801"/>
      <c r="N30" s="801"/>
      <c r="O30" s="801">
        <f>'131'!S45</f>
        <v>50000000</v>
      </c>
      <c r="P30" s="801"/>
      <c r="Q30" s="801">
        <f t="shared" si="1"/>
        <v>3136231254</v>
      </c>
    </row>
    <row r="31" spans="1:17" ht="30.95" customHeight="1">
      <c r="A31" s="798">
        <v>29</v>
      </c>
      <c r="B31" s="802">
        <v>132</v>
      </c>
      <c r="C31" s="800" t="s">
        <v>60</v>
      </c>
      <c r="D31" s="801">
        <f>'132'!S7</f>
        <v>171587436720</v>
      </c>
      <c r="E31" s="801">
        <f>'132'!S10</f>
        <v>300000000</v>
      </c>
      <c r="F31" s="801">
        <f>'132'!S23</f>
        <v>4692086417.0100002</v>
      </c>
      <c r="G31" s="801">
        <f>'132'!S32</f>
        <v>37877015200</v>
      </c>
      <c r="H31" s="801">
        <f>'132'!S37</f>
        <v>2142000000</v>
      </c>
      <c r="I31" s="801">
        <f>'132'!S44</f>
        <v>0</v>
      </c>
      <c r="J31" s="801">
        <v>0</v>
      </c>
      <c r="K31" s="801">
        <f>'132'!S47</f>
        <v>167000000</v>
      </c>
      <c r="L31" s="801">
        <f>'132'!S50</f>
        <v>1500000000</v>
      </c>
      <c r="M31" s="801"/>
      <c r="N31" s="801"/>
      <c r="O31" s="801"/>
      <c r="P31" s="801"/>
      <c r="Q31" s="801">
        <f t="shared" si="1"/>
        <v>218265538337.01001</v>
      </c>
    </row>
    <row r="32" spans="1:17" ht="30.95" customHeight="1">
      <c r="A32" s="798">
        <v>30</v>
      </c>
      <c r="B32" s="802">
        <v>141</v>
      </c>
      <c r="C32" s="800" t="s">
        <v>325</v>
      </c>
      <c r="D32" s="801">
        <f>'141'!S8</f>
        <v>3759474720</v>
      </c>
      <c r="E32" s="801"/>
      <c r="F32" s="801">
        <f>'141'!S25</f>
        <v>2321691680</v>
      </c>
      <c r="G32" s="801">
        <f>'141'!S30</f>
        <v>671708800</v>
      </c>
      <c r="H32" s="801">
        <f>'141'!S35</f>
        <v>300000000</v>
      </c>
      <c r="I32" s="801">
        <f>'141'!S42</f>
        <v>0</v>
      </c>
      <c r="J32" s="801">
        <v>0</v>
      </c>
      <c r="K32" s="801"/>
      <c r="L32" s="801"/>
      <c r="M32" s="801"/>
      <c r="N32" s="801"/>
      <c r="O32" s="801"/>
      <c r="P32" s="801">
        <f>'141'!S45</f>
        <v>8106480000</v>
      </c>
      <c r="Q32" s="801">
        <f t="shared" si="1"/>
        <v>15159355200</v>
      </c>
    </row>
    <row r="33" spans="1:17" ht="30.95" customHeight="1">
      <c r="A33" s="798">
        <v>31</v>
      </c>
      <c r="B33" s="802">
        <v>151</v>
      </c>
      <c r="C33" s="800" t="s">
        <v>80</v>
      </c>
      <c r="D33" s="801">
        <f>'151'!S9</f>
        <v>51154916640</v>
      </c>
      <c r="E33" s="801">
        <f>'151'!S13</f>
        <v>650000000</v>
      </c>
      <c r="F33" s="801">
        <f>'151'!S44</f>
        <v>17180675600</v>
      </c>
      <c r="G33" s="801">
        <f>'151'!S54</f>
        <v>4075573780</v>
      </c>
      <c r="H33" s="801">
        <f>'151'!S59</f>
        <v>900000000</v>
      </c>
      <c r="I33" s="801">
        <f>'151'!S66</f>
        <v>470000000</v>
      </c>
      <c r="J33" s="801"/>
      <c r="K33" s="801">
        <v>0</v>
      </c>
      <c r="L33" s="801"/>
      <c r="M33" s="801">
        <v>0</v>
      </c>
      <c r="N33" s="801">
        <v>0</v>
      </c>
      <c r="O33" s="801">
        <f>'151'!S69</f>
        <v>400000000</v>
      </c>
      <c r="P33" s="801">
        <f>'151'!S72</f>
        <v>17490000000</v>
      </c>
      <c r="Q33" s="801">
        <f>SUM(D33:P33)</f>
        <v>92321166020</v>
      </c>
    </row>
    <row r="34" spans="1:17" ht="30.95" customHeight="1">
      <c r="A34" s="798">
        <v>32</v>
      </c>
      <c r="B34" s="802">
        <v>152</v>
      </c>
      <c r="C34" s="800" t="s">
        <v>867</v>
      </c>
      <c r="D34" s="801">
        <f>'152'!U5</f>
        <v>1181506000</v>
      </c>
      <c r="E34" s="801">
        <f>'152'!U9</f>
        <v>15500000000</v>
      </c>
      <c r="F34" s="801">
        <f>'152'!U29</f>
        <v>158448400000</v>
      </c>
      <c r="G34" s="801">
        <f>'152'!U37</f>
        <v>12703500000</v>
      </c>
      <c r="H34" s="801">
        <v>0</v>
      </c>
      <c r="I34" s="801">
        <f>'152'!U44</f>
        <v>7650000000</v>
      </c>
      <c r="J34" s="801">
        <f>'152'!U53</f>
        <v>33980000000</v>
      </c>
      <c r="K34" s="801">
        <f>'152'!U57</f>
        <v>45817413931</v>
      </c>
      <c r="L34" s="801">
        <f>'152'!U72</f>
        <v>13588000000</v>
      </c>
      <c r="M34" s="801">
        <f>'152'!U77</f>
        <v>44734942000</v>
      </c>
      <c r="N34" s="801">
        <f>'152'!U80</f>
        <v>12000000000</v>
      </c>
      <c r="O34" s="801">
        <f>'152'!U83</f>
        <v>13000000000</v>
      </c>
      <c r="P34" s="801"/>
      <c r="Q34" s="801">
        <f t="shared" si="1"/>
        <v>358603761931</v>
      </c>
    </row>
    <row r="35" spans="1:17" ht="30.95" customHeight="1">
      <c r="A35" s="798">
        <v>33</v>
      </c>
      <c r="B35" s="802">
        <v>161</v>
      </c>
      <c r="C35" s="800" t="s">
        <v>935</v>
      </c>
      <c r="D35" s="801">
        <f>'161'!S8</f>
        <v>5151960480</v>
      </c>
      <c r="E35" s="801"/>
      <c r="F35" s="801">
        <f>'161'!S24</f>
        <v>1546282576</v>
      </c>
      <c r="G35" s="801">
        <f>'161'!S30</f>
        <v>508757640</v>
      </c>
      <c r="H35" s="801">
        <f>'161'!S34</f>
        <v>120000000</v>
      </c>
      <c r="I35" s="801">
        <f>'161'!S39</f>
        <v>75000000</v>
      </c>
      <c r="J35" s="801">
        <f>'161'!S42</f>
        <v>700000000</v>
      </c>
      <c r="K35" s="801"/>
      <c r="L35" s="801"/>
      <c r="M35" s="801"/>
      <c r="N35" s="801"/>
      <c r="O35" s="801"/>
      <c r="P35" s="801"/>
      <c r="Q35" s="801">
        <f t="shared" si="1"/>
        <v>8102000696</v>
      </c>
    </row>
    <row r="36" spans="1:17" ht="30.95" customHeight="1">
      <c r="A36" s="798">
        <v>34</v>
      </c>
      <c r="B36" s="802">
        <v>171</v>
      </c>
      <c r="C36" s="800" t="s">
        <v>869</v>
      </c>
      <c r="D36" s="801">
        <f>'171'!T9</f>
        <v>2941516416</v>
      </c>
      <c r="E36" s="801"/>
      <c r="F36" s="801">
        <f>'171'!T29</f>
        <v>2196752595.0999999</v>
      </c>
      <c r="G36" s="801">
        <f>'171'!T35</f>
        <v>391187940.5</v>
      </c>
      <c r="H36" s="801">
        <f>'171'!T40</f>
        <v>114042720</v>
      </c>
      <c r="I36" s="801">
        <f>'171'!T46</f>
        <v>324000000</v>
      </c>
      <c r="J36" s="801"/>
      <c r="K36" s="801"/>
      <c r="L36" s="801"/>
      <c r="M36" s="801"/>
      <c r="N36" s="801"/>
      <c r="O36" s="801">
        <f>'171'!T49</f>
        <v>300000000</v>
      </c>
      <c r="P36" s="801"/>
      <c r="Q36" s="801">
        <f t="shared" si="1"/>
        <v>6267499671.6000004</v>
      </c>
    </row>
    <row r="37" spans="1:17" ht="30.95" customHeight="1">
      <c r="A37" s="798">
        <v>35</v>
      </c>
      <c r="B37" s="802">
        <v>181</v>
      </c>
      <c r="C37" s="800" t="s">
        <v>933</v>
      </c>
      <c r="D37" s="801">
        <f>'181'!S9</f>
        <v>2508846144</v>
      </c>
      <c r="E37" s="801"/>
      <c r="F37" s="801">
        <f>'181'!S22</f>
        <v>971114788</v>
      </c>
      <c r="G37" s="801">
        <f>'181'!S27</f>
        <v>490862514</v>
      </c>
      <c r="H37" s="801">
        <f>'181'!S32</f>
        <v>790213600</v>
      </c>
      <c r="I37" s="801">
        <f>'181'!S40</f>
        <v>515000000</v>
      </c>
      <c r="J37" s="801">
        <v>0</v>
      </c>
      <c r="K37" s="801"/>
      <c r="L37" s="801">
        <f>'181'!S46</f>
        <v>700000000</v>
      </c>
      <c r="M37" s="801"/>
      <c r="N37" s="801"/>
      <c r="O37" s="801">
        <f>'181'!S49</f>
        <v>98000000</v>
      </c>
      <c r="P37" s="801"/>
      <c r="Q37" s="801">
        <f t="shared" si="1"/>
        <v>6074037046</v>
      </c>
    </row>
    <row r="38" spans="1:17" ht="30.95" customHeight="1">
      <c r="A38" s="798">
        <v>36</v>
      </c>
      <c r="B38" s="802">
        <v>191</v>
      </c>
      <c r="C38" s="800" t="s">
        <v>97</v>
      </c>
      <c r="D38" s="801">
        <f>'191'!S8</f>
        <v>4139540064</v>
      </c>
      <c r="E38" s="801"/>
      <c r="F38" s="801">
        <f>'191'!S27</f>
        <v>1733043293</v>
      </c>
      <c r="G38" s="801">
        <f>'191'!S34</f>
        <v>587174960</v>
      </c>
      <c r="H38" s="801">
        <f>'191'!S39</f>
        <v>185000000</v>
      </c>
      <c r="I38" s="801">
        <f>'191'!S46</f>
        <v>27085440</v>
      </c>
      <c r="J38" s="801">
        <f>'191'!S50</f>
        <v>370000000</v>
      </c>
      <c r="K38" s="801"/>
      <c r="L38" s="801"/>
      <c r="M38" s="801"/>
      <c r="N38" s="801"/>
      <c r="O38" s="801"/>
      <c r="P38" s="801"/>
      <c r="Q38" s="801">
        <f t="shared" si="1"/>
        <v>7041843757</v>
      </c>
    </row>
    <row r="39" spans="1:17" ht="30.95" customHeight="1">
      <c r="A39" s="798">
        <v>37</v>
      </c>
      <c r="B39" s="802">
        <v>201</v>
      </c>
      <c r="C39" s="800" t="s">
        <v>454</v>
      </c>
      <c r="D39" s="801">
        <f>'201'!S8</f>
        <v>6260166144</v>
      </c>
      <c r="E39" s="801"/>
      <c r="F39" s="801">
        <f>'201'!S26</f>
        <v>3657176200</v>
      </c>
      <c r="G39" s="801">
        <f>'201'!S33</f>
        <v>1744507901</v>
      </c>
      <c r="H39" s="801">
        <f>'201'!S39</f>
        <v>235854400</v>
      </c>
      <c r="I39" s="801">
        <f>'201'!S47</f>
        <v>315000000</v>
      </c>
      <c r="J39" s="801">
        <f>'201'!S50</f>
        <v>1800000000</v>
      </c>
      <c r="K39" s="801">
        <v>0</v>
      </c>
      <c r="L39" s="801">
        <f>'201'!S53</f>
        <v>100000000</v>
      </c>
      <c r="M39" s="801"/>
      <c r="N39" s="801"/>
      <c r="O39" s="801">
        <f>'201'!S56</f>
        <v>200000000</v>
      </c>
      <c r="P39" s="801"/>
      <c r="Q39" s="801">
        <f t="shared" si="1"/>
        <v>14312704645</v>
      </c>
    </row>
    <row r="40" spans="1:17" ht="30.95" customHeight="1">
      <c r="A40" s="798">
        <v>38</v>
      </c>
      <c r="B40" s="802">
        <v>211</v>
      </c>
      <c r="C40" s="800" t="s">
        <v>86</v>
      </c>
      <c r="D40" s="801">
        <f>'211'!S10</f>
        <v>2643597600</v>
      </c>
      <c r="E40" s="801"/>
      <c r="F40" s="801">
        <f>'211'!S26</f>
        <v>1559320000</v>
      </c>
      <c r="G40" s="801">
        <f>'211'!S33</f>
        <v>366292240</v>
      </c>
      <c r="H40" s="801">
        <f>'211'!S38</f>
        <v>470000000</v>
      </c>
      <c r="I40" s="801">
        <f>'211'!S46</f>
        <v>173910200</v>
      </c>
      <c r="J40" s="801"/>
      <c r="K40" s="801"/>
      <c r="L40" s="801"/>
      <c r="M40" s="801"/>
      <c r="N40" s="801"/>
      <c r="O40" s="801">
        <f>'211'!S49</f>
        <v>340000000</v>
      </c>
      <c r="P40" s="801"/>
      <c r="Q40" s="801">
        <f t="shared" si="1"/>
        <v>5553120040</v>
      </c>
    </row>
    <row r="41" spans="1:17" ht="30.95" customHeight="1">
      <c r="A41" s="798">
        <v>39</v>
      </c>
      <c r="B41" s="802">
        <v>221</v>
      </c>
      <c r="C41" s="800" t="s">
        <v>327</v>
      </c>
      <c r="D41" s="801">
        <f>'221'!Q9</f>
        <v>74939192672</v>
      </c>
      <c r="E41" s="801"/>
      <c r="F41" s="801">
        <f>'221'!Q28</f>
        <v>6770764000</v>
      </c>
      <c r="G41" s="801">
        <f>'221'!Q36</f>
        <v>1814427200</v>
      </c>
      <c r="H41" s="801">
        <f>'221'!Q42</f>
        <v>2776000000</v>
      </c>
      <c r="I41" s="801">
        <f>'221'!Q48</f>
        <v>981564080</v>
      </c>
      <c r="J41" s="801">
        <f>'221'!Q55</f>
        <v>5500000000</v>
      </c>
      <c r="K41" s="801">
        <v>0</v>
      </c>
      <c r="L41" s="801">
        <f>'221'!Q62</f>
        <v>9552000000</v>
      </c>
      <c r="M41" s="801"/>
      <c r="N41" s="801"/>
      <c r="O41" s="801">
        <f>'221'!Q65</f>
        <v>281676000</v>
      </c>
      <c r="P41" s="801"/>
      <c r="Q41" s="801">
        <f t="shared" si="1"/>
        <v>102615623952</v>
      </c>
    </row>
    <row r="42" spans="1:17" ht="30.95" customHeight="1">
      <c r="A42" s="798">
        <v>40</v>
      </c>
      <c r="B42" s="802">
        <v>222</v>
      </c>
      <c r="C42" s="800" t="s">
        <v>473</v>
      </c>
      <c r="D42" s="801">
        <f>'222'!H9</f>
        <v>480519680</v>
      </c>
      <c r="E42" s="801"/>
      <c r="F42" s="801">
        <f>'222'!H23</f>
        <v>351000000</v>
      </c>
      <c r="G42" s="801">
        <f>'222'!H29</f>
        <v>205000000</v>
      </c>
      <c r="H42" s="801">
        <f>'222'!H34</f>
        <v>60000000</v>
      </c>
      <c r="I42" s="801">
        <f>'222'!H41</f>
        <v>120000000</v>
      </c>
      <c r="J42" s="801">
        <v>0</v>
      </c>
      <c r="K42" s="801">
        <v>0</v>
      </c>
      <c r="L42" s="801">
        <f>'222'!H45</f>
        <v>4280000000</v>
      </c>
      <c r="M42" s="801"/>
      <c r="N42" s="801"/>
      <c r="O42" s="801">
        <f>'222'!H51</f>
        <v>18000000</v>
      </c>
      <c r="P42" s="801"/>
      <c r="Q42" s="801">
        <f t="shared" si="1"/>
        <v>5514519680</v>
      </c>
    </row>
    <row r="43" spans="1:17" ht="30.95" customHeight="1">
      <c r="A43" s="798">
        <v>41</v>
      </c>
      <c r="B43" s="802">
        <v>223</v>
      </c>
      <c r="C43" s="800" t="s">
        <v>533</v>
      </c>
      <c r="D43" s="801">
        <f>'223'!H9</f>
        <v>1101011904</v>
      </c>
      <c r="E43" s="801"/>
      <c r="F43" s="801">
        <f>'223'!H23</f>
        <v>242120000</v>
      </c>
      <c r="G43" s="801">
        <f>'223'!H29</f>
        <v>210000000</v>
      </c>
      <c r="H43" s="801">
        <f>'223'!H34</f>
        <v>30000000</v>
      </c>
      <c r="I43" s="801">
        <f>'223'!H41</f>
        <v>0</v>
      </c>
      <c r="J43" s="801">
        <f>'223'!H44</f>
        <v>0</v>
      </c>
      <c r="K43" s="801"/>
      <c r="L43" s="801"/>
      <c r="M43" s="801"/>
      <c r="N43" s="801"/>
      <c r="O43" s="801"/>
      <c r="P43" s="801"/>
      <c r="Q43" s="801">
        <f t="shared" si="1"/>
        <v>1583131904</v>
      </c>
    </row>
    <row r="44" spans="1:17" ht="30.95" customHeight="1">
      <c r="A44" s="798">
        <v>42</v>
      </c>
      <c r="B44" s="802">
        <v>231</v>
      </c>
      <c r="C44" s="800" t="s">
        <v>328</v>
      </c>
      <c r="D44" s="801">
        <f>'231'!P9</f>
        <v>32989741920</v>
      </c>
      <c r="E44" s="801"/>
      <c r="F44" s="801">
        <f>'231'!P28</f>
        <v>11511593888</v>
      </c>
      <c r="G44" s="801">
        <f>'231'!P36</f>
        <v>1923498766</v>
      </c>
      <c r="H44" s="801">
        <f>'231'!P41</f>
        <v>317695200</v>
      </c>
      <c r="I44" s="801">
        <f>'231'!P51</f>
        <v>9360000000</v>
      </c>
      <c r="J44" s="801">
        <f>'231'!P62</f>
        <v>5000000000</v>
      </c>
      <c r="K44" s="801">
        <v>0</v>
      </c>
      <c r="L44" s="801">
        <f>'231'!P57</f>
        <v>1147000000</v>
      </c>
      <c r="M44" s="801"/>
      <c r="N44" s="801"/>
      <c r="O44" s="801">
        <f>'231'!P65</f>
        <v>0</v>
      </c>
      <c r="P44" s="801"/>
      <c r="Q44" s="801">
        <f t="shared" si="1"/>
        <v>62249529774</v>
      </c>
    </row>
    <row r="45" spans="1:17" ht="30.95" customHeight="1">
      <c r="A45" s="798">
        <v>43</v>
      </c>
      <c r="B45" s="802">
        <v>232</v>
      </c>
      <c r="C45" s="800" t="s">
        <v>1083</v>
      </c>
      <c r="D45" s="801">
        <f>'232'!H9</f>
        <v>755055456</v>
      </c>
      <c r="E45" s="801"/>
      <c r="F45" s="801">
        <f>'232'!H23</f>
        <v>85750000</v>
      </c>
      <c r="G45" s="801">
        <f>'232'!H29</f>
        <v>93000000</v>
      </c>
      <c r="H45" s="801">
        <f>'232'!H35</f>
        <v>28000000</v>
      </c>
      <c r="I45" s="801">
        <f>'232'!H42</f>
        <v>0</v>
      </c>
      <c r="J45" s="801"/>
      <c r="K45" s="801"/>
      <c r="L45" s="801"/>
      <c r="M45" s="801"/>
      <c r="N45" s="801"/>
      <c r="O45" s="801"/>
      <c r="P45" s="801"/>
      <c r="Q45" s="801">
        <f t="shared" si="1"/>
        <v>961805456</v>
      </c>
    </row>
    <row r="46" spans="1:17" ht="30.95" customHeight="1">
      <c r="A46" s="798">
        <v>44</v>
      </c>
      <c r="B46" s="802">
        <v>241</v>
      </c>
      <c r="C46" s="800" t="s">
        <v>1094</v>
      </c>
      <c r="D46" s="801">
        <f>'241'!Q9</f>
        <v>1850850720</v>
      </c>
      <c r="E46" s="801"/>
      <c r="F46" s="801">
        <f>'241'!Q25</f>
        <v>1859050000</v>
      </c>
      <c r="G46" s="801">
        <f>'241'!Q31</f>
        <v>369000000</v>
      </c>
      <c r="H46" s="801">
        <f>'241'!Q37</f>
        <v>263606800</v>
      </c>
      <c r="I46" s="801">
        <f>'241'!Q43</f>
        <v>300000000</v>
      </c>
      <c r="J46" s="801">
        <f>'241'!Q46</f>
        <v>1200000000</v>
      </c>
      <c r="K46" s="801"/>
      <c r="L46" s="801"/>
      <c r="M46" s="801"/>
      <c r="N46" s="801"/>
      <c r="O46" s="801">
        <f>'241'!Q49</f>
        <v>137778000</v>
      </c>
      <c r="P46" s="801"/>
      <c r="Q46" s="801">
        <f t="shared" si="1"/>
        <v>5980285520</v>
      </c>
    </row>
    <row r="47" spans="1:17" ht="30.95" customHeight="1">
      <c r="A47" s="798">
        <v>45</v>
      </c>
      <c r="B47" s="802">
        <v>242</v>
      </c>
      <c r="C47" s="800" t="s">
        <v>1304</v>
      </c>
      <c r="D47" s="801">
        <f>'242'!E8</f>
        <v>1674372928</v>
      </c>
      <c r="E47" s="801"/>
      <c r="F47" s="801">
        <f>'242'!E25</f>
        <v>714200000</v>
      </c>
      <c r="G47" s="801">
        <f>'242'!E31</f>
        <v>150000000</v>
      </c>
      <c r="H47" s="801">
        <f>'242'!E36</f>
        <v>32500000</v>
      </c>
      <c r="I47" s="801">
        <f>'242'!E41</f>
        <v>0</v>
      </c>
      <c r="J47" s="801"/>
      <c r="K47" s="801"/>
      <c r="L47" s="801"/>
      <c r="M47" s="801"/>
      <c r="N47" s="801"/>
      <c r="O47" s="801"/>
      <c r="P47" s="801"/>
      <c r="Q47" s="801">
        <f t="shared" si="1"/>
        <v>2571072928</v>
      </c>
    </row>
    <row r="48" spans="1:17" ht="30.95" customHeight="1">
      <c r="A48" s="798">
        <v>46</v>
      </c>
      <c r="B48" s="802">
        <v>251</v>
      </c>
      <c r="C48" s="800" t="s">
        <v>1095</v>
      </c>
      <c r="D48" s="801">
        <f>'251'!R9</f>
        <v>5303886816</v>
      </c>
      <c r="E48" s="801"/>
      <c r="F48" s="801">
        <f>'251'!R23</f>
        <v>2744714584</v>
      </c>
      <c r="G48" s="801">
        <f>'251'!R29</f>
        <v>503193920</v>
      </c>
      <c r="H48" s="801">
        <f>'251'!R34</f>
        <v>105213600</v>
      </c>
      <c r="I48" s="801">
        <f>'251'!R41</f>
        <v>150000000</v>
      </c>
      <c r="J48" s="801">
        <f>'251'!R44</f>
        <v>1500000000</v>
      </c>
      <c r="K48" s="801">
        <v>0</v>
      </c>
      <c r="L48" s="801">
        <v>0</v>
      </c>
      <c r="M48" s="801">
        <v>0</v>
      </c>
      <c r="N48" s="801">
        <v>0</v>
      </c>
      <c r="O48" s="801">
        <f>'251'!R47</f>
        <v>137000000</v>
      </c>
      <c r="P48" s="801"/>
      <c r="Q48" s="801">
        <f t="shared" si="1"/>
        <v>10444008920</v>
      </c>
    </row>
    <row r="49" spans="1:17" ht="30.95" customHeight="1">
      <c r="A49" s="798">
        <v>47</v>
      </c>
      <c r="B49" s="802">
        <v>261</v>
      </c>
      <c r="C49" s="800" t="s">
        <v>331</v>
      </c>
      <c r="D49" s="801">
        <f>'261'!R11</f>
        <v>6978544672</v>
      </c>
      <c r="E49" s="801"/>
      <c r="F49" s="801">
        <f>'261'!R27</f>
        <v>2253241668</v>
      </c>
      <c r="G49" s="801">
        <f>'261'!R34</f>
        <v>1226831200</v>
      </c>
      <c r="H49" s="801">
        <f>'261'!R40</f>
        <v>220606800</v>
      </c>
      <c r="I49" s="801">
        <f>'261'!R47</f>
        <v>390000000</v>
      </c>
      <c r="J49" s="801">
        <f>'261'!Q55</f>
        <v>0</v>
      </c>
      <c r="K49" s="801">
        <v>0</v>
      </c>
      <c r="L49" s="801">
        <f>'261'!R50</f>
        <v>20000000</v>
      </c>
      <c r="M49" s="801">
        <v>0</v>
      </c>
      <c r="N49" s="801">
        <v>0</v>
      </c>
      <c r="O49" s="801">
        <f>'261'!R58</f>
        <v>630000000</v>
      </c>
      <c r="P49" s="801"/>
      <c r="Q49" s="801">
        <f t="shared" si="1"/>
        <v>11719224340</v>
      </c>
    </row>
    <row r="50" spans="1:17" ht="30.95" customHeight="1">
      <c r="A50" s="798">
        <v>48</v>
      </c>
      <c r="B50" s="802">
        <v>271</v>
      </c>
      <c r="C50" s="800" t="s">
        <v>936</v>
      </c>
      <c r="D50" s="804">
        <f>'271'!R11</f>
        <v>25342666304</v>
      </c>
      <c r="E50" s="804"/>
      <c r="F50" s="801">
        <f>'271'!R26</f>
        <v>314960871</v>
      </c>
      <c r="G50" s="801">
        <f>'271'!R34</f>
        <v>6183431205</v>
      </c>
      <c r="H50" s="801">
        <f>'271'!R40</f>
        <v>62205000</v>
      </c>
      <c r="I50" s="801">
        <f>'271'!R47</f>
        <v>170000000</v>
      </c>
      <c r="J50" s="801"/>
      <c r="K50" s="801">
        <f>'271'!R50</f>
        <v>50000000</v>
      </c>
      <c r="L50" s="801"/>
      <c r="M50" s="801"/>
      <c r="N50" s="801"/>
      <c r="O50" s="801"/>
      <c r="P50" s="801"/>
      <c r="Q50" s="801">
        <f t="shared" si="1"/>
        <v>32123263380</v>
      </c>
    </row>
    <row r="51" spans="1:17" ht="30.95" customHeight="1">
      <c r="A51" s="798">
        <v>49</v>
      </c>
      <c r="B51" s="802">
        <v>291</v>
      </c>
      <c r="C51" s="800" t="s">
        <v>870</v>
      </c>
      <c r="D51" s="801">
        <f>'291'!R9</f>
        <v>1547038560</v>
      </c>
      <c r="E51" s="801"/>
      <c r="F51" s="801">
        <f>'291'!R26</f>
        <v>1539000000</v>
      </c>
      <c r="G51" s="801">
        <f>'291'!R32</f>
        <v>307800000</v>
      </c>
      <c r="H51" s="801">
        <f>'291'!R37</f>
        <v>81117200</v>
      </c>
      <c r="I51" s="801">
        <f>'291'!R44</f>
        <v>0</v>
      </c>
      <c r="J51" s="801">
        <v>0</v>
      </c>
      <c r="K51" s="801">
        <v>0</v>
      </c>
      <c r="L51" s="801">
        <v>0</v>
      </c>
      <c r="M51" s="801">
        <v>0</v>
      </c>
      <c r="N51" s="801">
        <v>0</v>
      </c>
      <c r="O51" s="801">
        <f>'291'!R50</f>
        <v>27000000</v>
      </c>
      <c r="P51" s="801"/>
      <c r="Q51" s="801">
        <f t="shared" si="1"/>
        <v>3501955760</v>
      </c>
    </row>
    <row r="52" spans="1:17" ht="30.95" customHeight="1">
      <c r="A52" s="798">
        <v>50</v>
      </c>
      <c r="B52" s="805">
        <v>301</v>
      </c>
      <c r="C52" s="800" t="s">
        <v>318</v>
      </c>
      <c r="D52" s="801">
        <f>'301'!P9</f>
        <v>3073792704</v>
      </c>
      <c r="E52" s="801"/>
      <c r="F52" s="801">
        <f>'301'!P23</f>
        <v>1624722000</v>
      </c>
      <c r="G52" s="801">
        <f>'301'!P29</f>
        <v>1259454400</v>
      </c>
      <c r="H52" s="801">
        <f>'301'!P34</f>
        <v>186914303.69999999</v>
      </c>
      <c r="I52" s="801">
        <f>'301'!P41</f>
        <v>180000000</v>
      </c>
      <c r="J52" s="801">
        <f>'301'!O44</f>
        <v>0</v>
      </c>
      <c r="K52" s="801">
        <v>0</v>
      </c>
      <c r="L52" s="801">
        <f>'301'!P47</f>
        <v>100000000</v>
      </c>
      <c r="M52" s="801"/>
      <c r="N52" s="801"/>
      <c r="O52" s="801">
        <f>'301'!P50</f>
        <v>90000000</v>
      </c>
      <c r="P52" s="801"/>
      <c r="Q52" s="801">
        <f t="shared" si="1"/>
        <v>6514883407.6999998</v>
      </c>
    </row>
    <row r="53" spans="1:17" ht="30.95" customHeight="1">
      <c r="A53" s="798">
        <v>51</v>
      </c>
      <c r="B53" s="802">
        <v>311</v>
      </c>
      <c r="C53" s="800" t="s">
        <v>865</v>
      </c>
      <c r="D53" s="801">
        <f>'311'!R9</f>
        <v>3285811968</v>
      </c>
      <c r="E53" s="801"/>
      <c r="F53" s="801">
        <f>'311'!R24</f>
        <v>1494409760</v>
      </c>
      <c r="G53" s="801">
        <f>'311'!R30</f>
        <v>539076720</v>
      </c>
      <c r="H53" s="801">
        <f>'311'!R34</f>
        <v>191460000</v>
      </c>
      <c r="I53" s="801">
        <f>'311'!R42</f>
        <v>1700000000</v>
      </c>
      <c r="J53" s="801">
        <f>'311'!R45</f>
        <v>1500000000</v>
      </c>
      <c r="K53" s="801"/>
      <c r="L53" s="801"/>
      <c r="M53" s="801"/>
      <c r="N53" s="801"/>
      <c r="O53" s="801">
        <f>'311'!R48</f>
        <v>611724000</v>
      </c>
      <c r="P53" s="801"/>
      <c r="Q53" s="801">
        <f t="shared" si="1"/>
        <v>9322482448</v>
      </c>
    </row>
    <row r="54" spans="1:17" ht="30.95" customHeight="1">
      <c r="A54" s="798">
        <v>52</v>
      </c>
      <c r="B54" s="802">
        <v>321</v>
      </c>
      <c r="C54" s="800" t="s">
        <v>77</v>
      </c>
      <c r="D54" s="801">
        <f>'321'!S8</f>
        <v>2652940128</v>
      </c>
      <c r="E54" s="801"/>
      <c r="F54" s="801">
        <f>'321'!S25</f>
        <v>1484741892</v>
      </c>
      <c r="G54" s="801">
        <f>'321'!S31</f>
        <v>347427200</v>
      </c>
      <c r="H54" s="801">
        <f>'321'!S35</f>
        <v>149606800</v>
      </c>
      <c r="I54" s="801">
        <f>'321'!S41</f>
        <v>0</v>
      </c>
      <c r="J54" s="801">
        <f>'321'!S44</f>
        <v>400000000</v>
      </c>
      <c r="K54" s="801"/>
      <c r="L54" s="801"/>
      <c r="M54" s="801"/>
      <c r="N54" s="801"/>
      <c r="O54" s="801"/>
      <c r="P54" s="801"/>
      <c r="Q54" s="801">
        <f t="shared" si="1"/>
        <v>5034716020</v>
      </c>
    </row>
    <row r="55" spans="1:17" ht="30.95" customHeight="1">
      <c r="A55" s="798">
        <v>53</v>
      </c>
      <c r="B55" s="806">
        <v>331</v>
      </c>
      <c r="C55" s="801" t="s">
        <v>79</v>
      </c>
      <c r="D55" s="801">
        <f>'331'!R8</f>
        <v>1024308672</v>
      </c>
      <c r="E55" s="801"/>
      <c r="F55" s="801">
        <f>'331'!R20</f>
        <v>235600000</v>
      </c>
      <c r="G55" s="801">
        <f>'331'!R26</f>
        <v>128524160</v>
      </c>
      <c r="H55" s="801">
        <f>'331'!R31</f>
        <v>43500000</v>
      </c>
      <c r="I55" s="801">
        <f>'331'!R38</f>
        <v>75000000</v>
      </c>
      <c r="J55" s="801">
        <f>'331'!R41</f>
        <v>500000000</v>
      </c>
      <c r="K55" s="801"/>
      <c r="L55" s="801"/>
      <c r="M55" s="801"/>
      <c r="N55" s="801"/>
      <c r="O55" s="801"/>
      <c r="P55" s="801"/>
      <c r="Q55" s="801">
        <f t="shared" si="1"/>
        <v>2006932832</v>
      </c>
    </row>
    <row r="56" spans="1:17" ht="30.95" customHeight="1">
      <c r="A56" s="798">
        <v>54</v>
      </c>
      <c r="B56" s="806">
        <v>341</v>
      </c>
      <c r="C56" s="800" t="s">
        <v>937</v>
      </c>
      <c r="D56" s="801">
        <f>'341'!S7</f>
        <v>756196992</v>
      </c>
      <c r="E56" s="801"/>
      <c r="F56" s="801">
        <f>'341'!S17</f>
        <v>531712312</v>
      </c>
      <c r="G56" s="801">
        <f>'341'!S23</f>
        <v>230427200</v>
      </c>
      <c r="H56" s="801">
        <f>'341'!S27</f>
        <v>50000000</v>
      </c>
      <c r="I56" s="801">
        <f>'341'!S34</f>
        <v>15000000</v>
      </c>
      <c r="J56" s="801"/>
      <c r="K56" s="801"/>
      <c r="L56" s="801"/>
      <c r="M56" s="801"/>
      <c r="N56" s="801"/>
      <c r="O56" s="801"/>
      <c r="P56" s="801"/>
      <c r="Q56" s="801">
        <f t="shared" si="1"/>
        <v>1583336504</v>
      </c>
    </row>
    <row r="57" spans="1:17" ht="30.95" customHeight="1">
      <c r="A57" s="798">
        <v>55</v>
      </c>
      <c r="B57" s="807">
        <v>381</v>
      </c>
      <c r="C57" s="808" t="s">
        <v>925</v>
      </c>
      <c r="D57" s="801">
        <f>'381'!I9</f>
        <v>1536925632</v>
      </c>
      <c r="E57" s="801"/>
      <c r="F57" s="801">
        <f>'381'!I25</f>
        <v>918320000</v>
      </c>
      <c r="G57" s="801">
        <f>'381'!I32</f>
        <v>239120000</v>
      </c>
      <c r="H57" s="801">
        <f>'381'!I36</f>
        <v>50000000</v>
      </c>
      <c r="I57" s="801">
        <f>'381'!I44</f>
        <v>1170000000</v>
      </c>
      <c r="J57" s="801">
        <v>0</v>
      </c>
      <c r="K57" s="801"/>
      <c r="L57" s="801"/>
      <c r="M57" s="801"/>
      <c r="N57" s="801"/>
      <c r="O57" s="801"/>
      <c r="P57" s="801"/>
      <c r="Q57" s="801">
        <f t="shared" si="1"/>
        <v>3914365632</v>
      </c>
    </row>
    <row r="58" spans="1:17" ht="30.95" customHeight="1">
      <c r="A58" s="798">
        <v>56</v>
      </c>
      <c r="B58" s="807">
        <v>391</v>
      </c>
      <c r="C58" s="808" t="s">
        <v>926</v>
      </c>
      <c r="D58" s="801">
        <f>'391'!P9</f>
        <v>1378084320</v>
      </c>
      <c r="E58" s="801"/>
      <c r="F58" s="801">
        <f>'391'!P23</f>
        <v>1131000000</v>
      </c>
      <c r="G58" s="801">
        <f>'391'!P29</f>
        <v>332000000</v>
      </c>
      <c r="H58" s="801">
        <f>'391'!P34</f>
        <v>70000000</v>
      </c>
      <c r="I58" s="801">
        <f>'391'!P41</f>
        <v>260000000</v>
      </c>
      <c r="J58" s="801">
        <f>'391'!P44</f>
        <v>0</v>
      </c>
      <c r="K58" s="801"/>
      <c r="L58" s="801"/>
      <c r="M58" s="801"/>
      <c r="N58" s="801"/>
      <c r="O58" s="801">
        <f>'391'!P47</f>
        <v>50000000</v>
      </c>
      <c r="P58" s="801"/>
      <c r="Q58" s="801">
        <f t="shared" si="1"/>
        <v>3221084320</v>
      </c>
    </row>
    <row r="59" spans="1:17" ht="30.95" customHeight="1">
      <c r="A59" s="798">
        <v>57</v>
      </c>
      <c r="B59" s="807">
        <v>401</v>
      </c>
      <c r="C59" s="808" t="s">
        <v>450</v>
      </c>
      <c r="D59" s="801">
        <f>'401'!R12</f>
        <v>2375505312</v>
      </c>
      <c r="E59" s="801"/>
      <c r="F59" s="801">
        <f>'401'!R29</f>
        <v>3725279580</v>
      </c>
      <c r="G59" s="801">
        <f>'401'!R36</f>
        <v>562108000</v>
      </c>
      <c r="H59" s="801">
        <f>'401'!R41</f>
        <v>214000000</v>
      </c>
      <c r="I59" s="801">
        <f>'401'!R49</f>
        <v>120000000</v>
      </c>
      <c r="J59" s="801">
        <f>'401'!R52</f>
        <v>0</v>
      </c>
      <c r="K59" s="801"/>
      <c r="L59" s="801"/>
      <c r="M59" s="801"/>
      <c r="N59" s="801"/>
      <c r="O59" s="801"/>
      <c r="P59" s="801"/>
      <c r="Q59" s="801">
        <f t="shared" si="1"/>
        <v>6996892892</v>
      </c>
    </row>
    <row r="60" spans="1:17" ht="30.95" customHeight="1">
      <c r="A60" s="798">
        <v>58</v>
      </c>
      <c r="B60" s="807">
        <v>411</v>
      </c>
      <c r="C60" s="808" t="s">
        <v>803</v>
      </c>
      <c r="D60" s="801">
        <f>'411'!H8</f>
        <v>5565496704</v>
      </c>
      <c r="E60" s="801"/>
      <c r="F60" s="801">
        <f>'411'!H29</f>
        <v>3026597600</v>
      </c>
      <c r="G60" s="801">
        <f>'411'!H36</f>
        <v>555213600</v>
      </c>
      <c r="H60" s="801">
        <f>'411'!H41</f>
        <v>155168880</v>
      </c>
      <c r="I60" s="801">
        <f>'411'!H48</f>
        <v>0</v>
      </c>
      <c r="J60" s="801">
        <f>'411'!G51</f>
        <v>0</v>
      </c>
      <c r="K60" s="801"/>
      <c r="L60" s="801"/>
      <c r="M60" s="801"/>
      <c r="N60" s="801"/>
      <c r="O60" s="801"/>
      <c r="P60" s="801">
        <f>'411'!H54</f>
        <v>4360421940</v>
      </c>
      <c r="Q60" s="801">
        <f t="shared" si="1"/>
        <v>13662898724</v>
      </c>
    </row>
    <row r="61" spans="1:17" ht="30.95" customHeight="1">
      <c r="A61" s="798">
        <v>59</v>
      </c>
      <c r="B61" s="807">
        <v>421</v>
      </c>
      <c r="C61" s="808" t="s">
        <v>521</v>
      </c>
      <c r="D61" s="801">
        <f>'421'!H7</f>
        <v>1515600000</v>
      </c>
      <c r="E61" s="801"/>
      <c r="F61" s="801">
        <f>'421'!H22</f>
        <v>547584000</v>
      </c>
      <c r="G61" s="801">
        <f>'421'!H31</f>
        <v>345000000</v>
      </c>
      <c r="H61" s="801">
        <f>'421'!H36</f>
        <v>110000000</v>
      </c>
      <c r="I61" s="801">
        <f>'421'!H43</f>
        <v>11941000</v>
      </c>
      <c r="J61" s="801"/>
      <c r="K61" s="801"/>
      <c r="L61" s="801"/>
      <c r="M61" s="801"/>
      <c r="N61" s="801"/>
      <c r="O61" s="801"/>
      <c r="P61" s="801"/>
      <c r="Q61" s="801">
        <f t="shared" si="1"/>
        <v>2530125000</v>
      </c>
    </row>
    <row r="62" spans="1:17" ht="30.95" customHeight="1">
      <c r="A62" s="798">
        <v>60</v>
      </c>
      <c r="B62" s="807">
        <v>431</v>
      </c>
      <c r="C62" s="808" t="s">
        <v>828</v>
      </c>
      <c r="D62" s="801">
        <f>'431'!T8</f>
        <v>2905976544</v>
      </c>
      <c r="E62" s="801"/>
      <c r="F62" s="801">
        <f>'431'!T23</f>
        <v>1367000000</v>
      </c>
      <c r="G62" s="801">
        <f>'431'!T29</f>
        <v>605000000</v>
      </c>
      <c r="H62" s="801">
        <f>'431'!T34</f>
        <v>275000000</v>
      </c>
      <c r="I62" s="801">
        <f>'431'!T43</f>
        <v>0</v>
      </c>
      <c r="J62" s="801">
        <f>'431'!T46</f>
        <v>1200000000</v>
      </c>
      <c r="K62" s="801"/>
      <c r="L62" s="801"/>
      <c r="M62" s="801"/>
      <c r="N62" s="801"/>
      <c r="O62" s="801">
        <f>'431'!T49</f>
        <v>150000000</v>
      </c>
      <c r="P62" s="801"/>
      <c r="Q62" s="801">
        <f t="shared" si="1"/>
        <v>6502976544</v>
      </c>
    </row>
    <row r="63" spans="1:17" ht="30.95" customHeight="1">
      <c r="A63" s="798">
        <v>61</v>
      </c>
      <c r="B63" s="807">
        <v>441</v>
      </c>
      <c r="C63" s="808" t="s">
        <v>868</v>
      </c>
      <c r="D63" s="801">
        <f>'441'!G9</f>
        <v>2223343008</v>
      </c>
      <c r="E63" s="801"/>
      <c r="F63" s="801">
        <f>'441'!G27</f>
        <v>1089019555</v>
      </c>
      <c r="G63" s="801">
        <f>'441'!G34</f>
        <v>241155940.5</v>
      </c>
      <c r="H63" s="801">
        <f>'441'!G42</f>
        <v>2328897120</v>
      </c>
      <c r="I63" s="801">
        <f>'441'!F47</f>
        <v>0</v>
      </c>
      <c r="J63" s="801">
        <f>'441'!G51</f>
        <v>6000000000</v>
      </c>
      <c r="K63" s="801"/>
      <c r="L63" s="801"/>
      <c r="M63" s="801"/>
      <c r="N63" s="801"/>
      <c r="O63" s="801"/>
      <c r="P63" s="801"/>
      <c r="Q63" s="801">
        <f t="shared" si="1"/>
        <v>11882415623.5</v>
      </c>
    </row>
    <row r="64" spans="1:17" ht="30.95" customHeight="1">
      <c r="A64" s="798">
        <v>62</v>
      </c>
      <c r="B64" s="807">
        <v>451</v>
      </c>
      <c r="C64" s="808" t="s">
        <v>1397</v>
      </c>
      <c r="D64" s="801">
        <f>'451'!I8</f>
        <v>1256126400</v>
      </c>
      <c r="E64" s="801">
        <v>0</v>
      </c>
      <c r="F64" s="801">
        <f>'451'!I23</f>
        <v>1174465280</v>
      </c>
      <c r="G64" s="801">
        <f>'451'!I30</f>
        <v>231000000</v>
      </c>
      <c r="H64" s="801">
        <f>'451'!I34</f>
        <v>50000000</v>
      </c>
      <c r="I64" s="801">
        <f>'451'!I41</f>
        <v>900000000</v>
      </c>
      <c r="J64" s="801">
        <f>'451'!I44</f>
        <v>0</v>
      </c>
      <c r="K64" s="801"/>
      <c r="L64" s="801"/>
      <c r="M64" s="801"/>
      <c r="N64" s="801"/>
      <c r="O64" s="801">
        <f>'451'!I47</f>
        <v>0</v>
      </c>
      <c r="P64" s="801"/>
      <c r="Q64" s="801">
        <f t="shared" si="1"/>
        <v>3611591680</v>
      </c>
    </row>
    <row r="65" spans="1:17" ht="30.95" customHeight="1">
      <c r="A65" s="798"/>
      <c r="B65" s="809"/>
      <c r="C65" s="809" t="s">
        <v>544</v>
      </c>
      <c r="D65" s="801">
        <f>SUM(D2:D64)</f>
        <v>683409515924</v>
      </c>
      <c r="E65" s="801">
        <f>SUM(E2:E64)</f>
        <v>20516737200</v>
      </c>
      <c r="F65" s="801">
        <f t="shared" ref="F65:O65" si="2">SUM(F2:F64)</f>
        <v>369345882274.10999</v>
      </c>
      <c r="G65" s="801">
        <f t="shared" si="2"/>
        <v>149246614540.20001</v>
      </c>
      <c r="H65" s="801">
        <f t="shared" si="2"/>
        <v>19261141611.099998</v>
      </c>
      <c r="I65" s="801">
        <f t="shared" si="2"/>
        <v>37202183720</v>
      </c>
      <c r="J65" s="801">
        <f t="shared" si="2"/>
        <v>69850000000</v>
      </c>
      <c r="K65" s="801">
        <f t="shared" si="2"/>
        <v>46252413931</v>
      </c>
      <c r="L65" s="801">
        <f t="shared" si="2"/>
        <v>36067390800</v>
      </c>
      <c r="M65" s="801">
        <f t="shared" si="2"/>
        <v>44734942000</v>
      </c>
      <c r="N65" s="801">
        <f t="shared" si="2"/>
        <v>12000000000</v>
      </c>
      <c r="O65" s="801">
        <f t="shared" si="2"/>
        <v>20913178000</v>
      </c>
      <c r="P65" s="801">
        <f>SUM(P5:P64)</f>
        <v>44404022280</v>
      </c>
      <c r="Q65" s="801">
        <f>SUM(D65:P65)</f>
        <v>1553204022280.4102</v>
      </c>
    </row>
  </sheetData>
  <pageMargins left="0.24" right="0.21" top="0.75" bottom="0.75" header="0.3" footer="0.3"/>
  <pageSetup scale="20" orientation="landscape" r:id="rId1"/>
  <headerFooter>
    <oddHeader>&amp;C&amp;"Agency FB,Bold"&amp;36SOO KOOBIDA GUUD EE MADAX-XIGEENADA KHARASHKA MIISAANIYADDA 2017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U50"/>
  <sheetViews>
    <sheetView view="pageBreakPreview" topLeftCell="A34" zoomScale="60" workbookViewId="0">
      <selection activeCell="T50" sqref="T50"/>
    </sheetView>
  </sheetViews>
  <sheetFormatPr defaultRowHeight="24.95" customHeight="1"/>
  <cols>
    <col min="1" max="1" width="16.6640625" style="584" bestFit="1" customWidth="1"/>
    <col min="2" max="2" width="85.33203125" style="528" customWidth="1"/>
    <col min="3" max="3" width="14.33203125" style="528" hidden="1" customWidth="1"/>
    <col min="4" max="4" width="16.5" style="528" hidden="1" customWidth="1"/>
    <col min="5" max="5" width="18" style="528" hidden="1" customWidth="1"/>
    <col min="6" max="6" width="15.5" style="528" hidden="1" customWidth="1"/>
    <col min="7" max="7" width="17.33203125" style="528" hidden="1" customWidth="1"/>
    <col min="8" max="8" width="15.1640625" style="528" hidden="1" customWidth="1"/>
    <col min="9" max="10" width="17" style="528" hidden="1" customWidth="1"/>
    <col min="11" max="11" width="2.83203125" style="528" hidden="1" customWidth="1"/>
    <col min="12" max="12" width="17.83203125" style="528" hidden="1" customWidth="1"/>
    <col min="13" max="13" width="0.1640625" style="528" hidden="1" customWidth="1"/>
    <col min="14" max="18" width="27.6640625" style="528" hidden="1" customWidth="1"/>
    <col min="19" max="21" width="27.6640625" style="528" customWidth="1"/>
    <col min="22" max="16384" width="9.33203125" style="528"/>
  </cols>
  <sheetData>
    <row r="1" spans="1:21" ht="24.95" customHeight="1">
      <c r="A1" s="544" t="s">
        <v>40</v>
      </c>
      <c r="B1" s="545" t="s">
        <v>1007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292"/>
      <c r="P1" s="292"/>
      <c r="Q1" s="292"/>
      <c r="R1" s="292"/>
      <c r="S1" s="292"/>
      <c r="T1" s="292"/>
      <c r="U1" s="292"/>
    </row>
    <row r="2" spans="1:21" ht="24.95" customHeight="1">
      <c r="A2" s="544" t="s">
        <v>25</v>
      </c>
      <c r="B2" s="478" t="s">
        <v>26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3</v>
      </c>
      <c r="I2" s="482" t="s">
        <v>62</v>
      </c>
      <c r="J2" s="482" t="s">
        <v>103</v>
      </c>
      <c r="K2" s="482" t="s">
        <v>109</v>
      </c>
      <c r="L2" s="482" t="s">
        <v>115</v>
      </c>
      <c r="M2" s="482" t="s">
        <v>151</v>
      </c>
      <c r="N2" s="482" t="s">
        <v>257</v>
      </c>
      <c r="O2" s="482" t="s">
        <v>440</v>
      </c>
      <c r="P2" s="482" t="s">
        <v>814</v>
      </c>
      <c r="Q2" s="482" t="s">
        <v>874</v>
      </c>
      <c r="R2" s="482" t="s">
        <v>973</v>
      </c>
      <c r="S2" s="482" t="s">
        <v>1160</v>
      </c>
      <c r="T2" s="482" t="s">
        <v>1320</v>
      </c>
      <c r="U2" s="482" t="s">
        <v>56</v>
      </c>
    </row>
    <row r="3" spans="1:21" ht="24.95" customHeight="1">
      <c r="A3" s="476">
        <v>210</v>
      </c>
      <c r="B3" s="280" t="s">
        <v>137</v>
      </c>
      <c r="C3" s="280" t="s">
        <v>137</v>
      </c>
      <c r="D3" s="280" t="s">
        <v>137</v>
      </c>
      <c r="E3" s="280" t="s">
        <v>137</v>
      </c>
      <c r="F3" s="280" t="s">
        <v>137</v>
      </c>
      <c r="G3" s="280" t="s">
        <v>137</v>
      </c>
      <c r="H3" s="280" t="s">
        <v>137</v>
      </c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24.95" customHeight="1">
      <c r="A4" s="476">
        <v>2110</v>
      </c>
      <c r="B4" s="280" t="s">
        <v>213</v>
      </c>
      <c r="C4" s="280" t="s">
        <v>213</v>
      </c>
      <c r="D4" s="280" t="s">
        <v>213</v>
      </c>
      <c r="E4" s="280" t="s">
        <v>213</v>
      </c>
      <c r="F4" s="280" t="s">
        <v>213</v>
      </c>
      <c r="G4" s="280" t="s">
        <v>213</v>
      </c>
      <c r="H4" s="280" t="s">
        <v>213</v>
      </c>
      <c r="I4" s="246">
        <f>225024000+2460000+13176000</f>
        <v>240660000</v>
      </c>
      <c r="J4" s="246">
        <f>331297200+41589600</f>
        <v>372886800</v>
      </c>
      <c r="K4" s="246">
        <f>345586800+54000000+6000000</f>
        <v>405586800</v>
      </c>
      <c r="L4" s="246">
        <f>405586800+12000000</f>
        <v>417586800</v>
      </c>
      <c r="M4" s="292"/>
      <c r="N4" s="292"/>
      <c r="O4" s="292"/>
      <c r="P4" s="292"/>
      <c r="Q4" s="292"/>
      <c r="R4" s="292"/>
      <c r="S4" s="292"/>
      <c r="T4" s="292"/>
      <c r="U4" s="292"/>
    </row>
    <row r="5" spans="1:21" ht="24.95" customHeight="1">
      <c r="A5" s="392">
        <v>21101</v>
      </c>
      <c r="B5" s="246" t="s">
        <v>28</v>
      </c>
      <c r="C5" s="246" t="s">
        <v>28</v>
      </c>
      <c r="D5" s="246" t="s">
        <v>28</v>
      </c>
      <c r="E5" s="246" t="s">
        <v>28</v>
      </c>
      <c r="F5" s="246" t="s">
        <v>28</v>
      </c>
      <c r="G5" s="246" t="s">
        <v>28</v>
      </c>
      <c r="H5" s="246" t="s">
        <v>28</v>
      </c>
      <c r="I5" s="246">
        <v>0</v>
      </c>
      <c r="J5" s="246">
        <v>0</v>
      </c>
      <c r="K5" s="246">
        <v>0</v>
      </c>
      <c r="L5" s="246">
        <v>0</v>
      </c>
      <c r="M5" s="246">
        <f>417586800+10186800</f>
        <v>427773600</v>
      </c>
      <c r="N5" s="246">
        <f>shaqaalaha2011!H31+36000000+36909600+96096000</f>
        <v>655008000</v>
      </c>
      <c r="O5" s="246">
        <v>622814400</v>
      </c>
      <c r="P5" s="246">
        <v>929292000</v>
      </c>
      <c r="Q5" s="246">
        <v>562011840</v>
      </c>
      <c r="R5" s="246">
        <v>850936320</v>
      </c>
      <c r="S5" s="246">
        <v>877593600</v>
      </c>
      <c r="T5" s="246">
        <v>1215916416</v>
      </c>
      <c r="U5" s="246">
        <f>T5-S5</f>
        <v>338322816</v>
      </c>
    </row>
    <row r="6" spans="1:21" ht="24.95" customHeight="1">
      <c r="A6" s="392">
        <v>21102</v>
      </c>
      <c r="B6" s="246" t="s">
        <v>554</v>
      </c>
      <c r="C6" s="246" t="s">
        <v>29</v>
      </c>
      <c r="D6" s="246" t="s">
        <v>29</v>
      </c>
      <c r="E6" s="246" t="s">
        <v>29</v>
      </c>
      <c r="F6" s="246" t="s">
        <v>29</v>
      </c>
      <c r="G6" s="246" t="s">
        <v>29</v>
      </c>
      <c r="H6" s="246" t="s">
        <v>29</v>
      </c>
      <c r="I6" s="246">
        <v>18000000</v>
      </c>
      <c r="J6" s="246">
        <v>18000000</v>
      </c>
      <c r="K6" s="246">
        <f>16800000+32400000+1440000</f>
        <v>50640000</v>
      </c>
      <c r="L6" s="246">
        <f>50640000+1440000+7920000</f>
        <v>60000000</v>
      </c>
      <c r="M6" s="246">
        <v>0</v>
      </c>
      <c r="N6" s="246">
        <v>0</v>
      </c>
      <c r="O6" s="246">
        <v>436368000</v>
      </c>
      <c r="P6" s="246">
        <v>194400000</v>
      </c>
      <c r="Q6" s="246">
        <v>194400000</v>
      </c>
      <c r="R6" s="246">
        <v>194400000</v>
      </c>
      <c r="S6" s="282">
        <v>867600000</v>
      </c>
      <c r="T6" s="852">
        <v>867600000</v>
      </c>
      <c r="U6" s="246">
        <f t="shared" ref="U6:U50" si="0">T6-S6</f>
        <v>0</v>
      </c>
    </row>
    <row r="7" spans="1:21" ht="24.95" customHeight="1">
      <c r="A7" s="392">
        <v>21103</v>
      </c>
      <c r="B7" s="246" t="s">
        <v>30</v>
      </c>
      <c r="C7" s="246" t="s">
        <v>30</v>
      </c>
      <c r="D7" s="246" t="s">
        <v>30</v>
      </c>
      <c r="E7" s="246" t="s">
        <v>30</v>
      </c>
      <c r="F7" s="246" t="s">
        <v>30</v>
      </c>
      <c r="G7" s="246" t="s">
        <v>30</v>
      </c>
      <c r="H7" s="246" t="s">
        <v>30</v>
      </c>
      <c r="I7" s="246">
        <v>0</v>
      </c>
      <c r="J7" s="246">
        <v>0</v>
      </c>
      <c r="K7" s="246">
        <v>0</v>
      </c>
      <c r="L7" s="246">
        <v>0</v>
      </c>
      <c r="M7" s="246">
        <f>60000000+4800000</f>
        <v>64800000</v>
      </c>
      <c r="N7" s="246">
        <f>60000000+4800000</f>
        <v>64800000</v>
      </c>
      <c r="O7" s="246">
        <v>93600000</v>
      </c>
      <c r="P7" s="246">
        <v>234000000</v>
      </c>
      <c r="Q7" s="246">
        <v>306000000</v>
      </c>
      <c r="R7" s="246">
        <v>306000000</v>
      </c>
      <c r="S7" s="282">
        <v>378000000</v>
      </c>
      <c r="T7" s="852">
        <v>378000000</v>
      </c>
      <c r="U7" s="246">
        <f t="shared" si="0"/>
        <v>0</v>
      </c>
    </row>
    <row r="8" spans="1:21" ht="24.95" customHeight="1">
      <c r="A8" s="392">
        <v>21105</v>
      </c>
      <c r="B8" s="246" t="s">
        <v>1082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>
        <v>30000000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840">
        <v>480000000</v>
      </c>
      <c r="U8" s="246">
        <f t="shared" si="0"/>
        <v>480000000</v>
      </c>
    </row>
    <row r="9" spans="1:21" ht="24.95" customHeight="1">
      <c r="A9" s="392"/>
      <c r="B9" s="280" t="s">
        <v>92</v>
      </c>
      <c r="C9" s="280" t="s">
        <v>92</v>
      </c>
      <c r="D9" s="280" t="s">
        <v>92</v>
      </c>
      <c r="E9" s="280" t="s">
        <v>92</v>
      </c>
      <c r="F9" s="280" t="s">
        <v>92</v>
      </c>
      <c r="G9" s="280" t="s">
        <v>92</v>
      </c>
      <c r="H9" s="280" t="s">
        <v>92</v>
      </c>
      <c r="I9" s="246">
        <v>15000000</v>
      </c>
      <c r="J9" s="246">
        <v>11172000</v>
      </c>
      <c r="K9" s="246">
        <v>13000000</v>
      </c>
      <c r="L9" s="246">
        <v>0</v>
      </c>
      <c r="M9" s="280" t="e">
        <f>#REF!+#REF!+N7+M5</f>
        <v>#REF!</v>
      </c>
      <c r="N9" s="280">
        <f>N8+N7+N5+N6</f>
        <v>749808000</v>
      </c>
      <c r="O9" s="280">
        <f>O8+O7+O5+O6</f>
        <v>1152782400</v>
      </c>
      <c r="P9" s="280">
        <f>SUM(P5:P8)</f>
        <v>1357692000</v>
      </c>
      <c r="Q9" s="280">
        <f>SUM(Q5:Q8)</f>
        <v>1062411840</v>
      </c>
      <c r="R9" s="280">
        <f>SUM(R5:R8)</f>
        <v>1351336320</v>
      </c>
      <c r="S9" s="280">
        <f>SUM(S5:S8)</f>
        <v>2123193600</v>
      </c>
      <c r="T9" s="851">
        <f>SUM(T5:T8)</f>
        <v>2941516416</v>
      </c>
      <c r="U9" s="280">
        <f t="shared" si="0"/>
        <v>818322816</v>
      </c>
    </row>
    <row r="10" spans="1:21" ht="24.95" customHeight="1">
      <c r="A10" s="476">
        <v>220</v>
      </c>
      <c r="B10" s="280" t="s">
        <v>225</v>
      </c>
      <c r="C10" s="280" t="s">
        <v>225</v>
      </c>
      <c r="D10" s="280" t="s">
        <v>225</v>
      </c>
      <c r="E10" s="280" t="s">
        <v>225</v>
      </c>
      <c r="F10" s="280" t="s">
        <v>225</v>
      </c>
      <c r="G10" s="280" t="s">
        <v>225</v>
      </c>
      <c r="H10" s="280" t="s">
        <v>225</v>
      </c>
      <c r="I10" s="246">
        <v>10000000</v>
      </c>
      <c r="J10" s="246">
        <v>7448000</v>
      </c>
      <c r="K10" s="246">
        <v>10000000</v>
      </c>
      <c r="L10" s="246">
        <v>0</v>
      </c>
      <c r="M10" s="246"/>
      <c r="N10" s="246"/>
      <c r="O10" s="246"/>
      <c r="P10" s="246"/>
      <c r="Q10" s="246"/>
      <c r="R10" s="246"/>
      <c r="S10" s="246"/>
      <c r="T10" s="840"/>
      <c r="U10" s="246">
        <f t="shared" si="0"/>
        <v>0</v>
      </c>
    </row>
    <row r="11" spans="1:21" ht="24.95" customHeight="1">
      <c r="A11" s="476">
        <v>2210</v>
      </c>
      <c r="B11" s="280" t="s">
        <v>226</v>
      </c>
      <c r="C11" s="280" t="s">
        <v>226</v>
      </c>
      <c r="D11" s="280" t="s">
        <v>226</v>
      </c>
      <c r="E11" s="280" t="s">
        <v>226</v>
      </c>
      <c r="F11" s="280" t="s">
        <v>226</v>
      </c>
      <c r="G11" s="280" t="s">
        <v>226</v>
      </c>
      <c r="H11" s="280" t="s">
        <v>226</v>
      </c>
      <c r="I11" s="246">
        <v>0</v>
      </c>
      <c r="J11" s="246">
        <v>0</v>
      </c>
      <c r="K11" s="246">
        <v>0</v>
      </c>
      <c r="L11" s="246">
        <v>3724000</v>
      </c>
      <c r="M11" s="246"/>
      <c r="N11" s="246"/>
      <c r="O11" s="246"/>
      <c r="P11" s="246"/>
      <c r="Q11" s="246"/>
      <c r="R11" s="246"/>
      <c r="S11" s="246"/>
      <c r="T11" s="840"/>
      <c r="U11" s="246">
        <f t="shared" si="0"/>
        <v>0</v>
      </c>
    </row>
    <row r="12" spans="1:21" ht="24.95" customHeight="1">
      <c r="A12" s="392">
        <v>22101</v>
      </c>
      <c r="B12" s="246" t="s">
        <v>33</v>
      </c>
      <c r="C12" s="246" t="s">
        <v>33</v>
      </c>
      <c r="D12" s="246" t="s">
        <v>33</v>
      </c>
      <c r="E12" s="246" t="s">
        <v>33</v>
      </c>
      <c r="F12" s="246" t="s">
        <v>33</v>
      </c>
      <c r="G12" s="246" t="s">
        <v>33</v>
      </c>
      <c r="H12" s="246" t="s">
        <v>33</v>
      </c>
      <c r="I12" s="246">
        <v>0</v>
      </c>
      <c r="J12" s="246">
        <v>0</v>
      </c>
      <c r="K12" s="246">
        <v>0</v>
      </c>
      <c r="L12" s="246">
        <v>8937600</v>
      </c>
      <c r="M12" s="246">
        <v>26068000</v>
      </c>
      <c r="N12" s="246">
        <f>26068000*70%</f>
        <v>18247600</v>
      </c>
      <c r="O12" s="246">
        <v>48247600</v>
      </c>
      <c r="P12" s="246">
        <v>48247600</v>
      </c>
      <c r="Q12" s="246">
        <v>68247600</v>
      </c>
      <c r="R12" s="246">
        <v>68247600</v>
      </c>
      <c r="S12" s="246">
        <v>68247600</v>
      </c>
      <c r="T12" s="840">
        <v>68247600</v>
      </c>
      <c r="U12" s="246">
        <f t="shared" si="0"/>
        <v>0</v>
      </c>
    </row>
    <row r="13" spans="1:21" s="530" customFormat="1" ht="24.95" customHeight="1">
      <c r="A13" s="392">
        <v>22102</v>
      </c>
      <c r="B13" s="246" t="s">
        <v>124</v>
      </c>
      <c r="C13" s="246" t="s">
        <v>124</v>
      </c>
      <c r="D13" s="246" t="s">
        <v>124</v>
      </c>
      <c r="E13" s="246" t="s">
        <v>124</v>
      </c>
      <c r="F13" s="246" t="s">
        <v>124</v>
      </c>
      <c r="G13" s="246" t="s">
        <v>124</v>
      </c>
      <c r="H13" s="246" t="s">
        <v>124</v>
      </c>
      <c r="I13" s="280">
        <f>SUM(I9:I12)</f>
        <v>25000000</v>
      </c>
      <c r="J13" s="280">
        <f>SUM(J9:J12)</f>
        <v>18620000</v>
      </c>
      <c r="K13" s="280">
        <f>SUM(K9:K12)</f>
        <v>23000000</v>
      </c>
      <c r="L13" s="246">
        <v>8192800</v>
      </c>
      <c r="M13" s="246">
        <v>0</v>
      </c>
      <c r="N13" s="246">
        <v>0</v>
      </c>
      <c r="O13" s="246">
        <v>20000000</v>
      </c>
      <c r="P13" s="246">
        <v>20000000</v>
      </c>
      <c r="Q13" s="246">
        <v>0</v>
      </c>
      <c r="R13" s="246">
        <v>0</v>
      </c>
      <c r="S13" s="246">
        <v>0</v>
      </c>
      <c r="T13" s="840">
        <v>0</v>
      </c>
      <c r="U13" s="246">
        <f t="shared" si="0"/>
        <v>0</v>
      </c>
    </row>
    <row r="14" spans="1:21" ht="24.95" customHeight="1">
      <c r="A14" s="392">
        <v>22103</v>
      </c>
      <c r="B14" s="246" t="s">
        <v>125</v>
      </c>
      <c r="C14" s="246" t="s">
        <v>125</v>
      </c>
      <c r="D14" s="246" t="s">
        <v>125</v>
      </c>
      <c r="E14" s="246" t="s">
        <v>125</v>
      </c>
      <c r="F14" s="246" t="s">
        <v>125</v>
      </c>
      <c r="G14" s="246" t="s">
        <v>125</v>
      </c>
      <c r="H14" s="246" t="s">
        <v>125</v>
      </c>
      <c r="I14" s="246"/>
      <c r="J14" s="246"/>
      <c r="K14" s="246"/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840">
        <v>0</v>
      </c>
      <c r="U14" s="246">
        <f t="shared" si="0"/>
        <v>0</v>
      </c>
    </row>
    <row r="15" spans="1:21" ht="24.95" customHeight="1">
      <c r="A15" s="392">
        <v>22104</v>
      </c>
      <c r="B15" s="246" t="s">
        <v>157</v>
      </c>
      <c r="C15" s="246" t="s">
        <v>157</v>
      </c>
      <c r="D15" s="246" t="s">
        <v>157</v>
      </c>
      <c r="E15" s="246" t="s">
        <v>157</v>
      </c>
      <c r="F15" s="246" t="s">
        <v>157</v>
      </c>
      <c r="G15" s="246" t="s">
        <v>157</v>
      </c>
      <c r="H15" s="246" t="s">
        <v>157</v>
      </c>
      <c r="I15" s="246">
        <v>0</v>
      </c>
      <c r="J15" s="246">
        <v>0</v>
      </c>
      <c r="K15" s="246">
        <v>5000000</v>
      </c>
      <c r="L15" s="246">
        <v>49156800</v>
      </c>
      <c r="M15" s="246">
        <v>8365593</v>
      </c>
      <c r="N15" s="246">
        <f>M15*70%</f>
        <v>5855915.0999999996</v>
      </c>
      <c r="O15" s="246">
        <f t="shared" ref="O15:T15" si="1">N15</f>
        <v>5855915.0999999996</v>
      </c>
      <c r="P15" s="246">
        <f t="shared" si="1"/>
        <v>5855915.0999999996</v>
      </c>
      <c r="Q15" s="246">
        <f t="shared" si="1"/>
        <v>5855915.0999999996</v>
      </c>
      <c r="R15" s="246">
        <f t="shared" si="1"/>
        <v>5855915.0999999996</v>
      </c>
      <c r="S15" s="246">
        <f t="shared" si="1"/>
        <v>5855915.0999999996</v>
      </c>
      <c r="T15" s="840">
        <f t="shared" si="1"/>
        <v>5855915.0999999996</v>
      </c>
      <c r="U15" s="246">
        <f t="shared" si="0"/>
        <v>0</v>
      </c>
    </row>
    <row r="16" spans="1:21" ht="24.95" customHeight="1">
      <c r="A16" s="392">
        <v>22105</v>
      </c>
      <c r="B16" s="246" t="s">
        <v>135</v>
      </c>
      <c r="C16" s="246" t="s">
        <v>135</v>
      </c>
      <c r="D16" s="246" t="s">
        <v>135</v>
      </c>
      <c r="E16" s="246" t="s">
        <v>135</v>
      </c>
      <c r="F16" s="246" t="s">
        <v>135</v>
      </c>
      <c r="G16" s="246" t="s">
        <v>135</v>
      </c>
      <c r="H16" s="246" t="s">
        <v>135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840">
        <v>75000000</v>
      </c>
      <c r="U16" s="246">
        <f t="shared" si="0"/>
        <v>75000000</v>
      </c>
    </row>
    <row r="17" spans="1:21" ht="24.95" customHeight="1">
      <c r="A17" s="392">
        <v>22106</v>
      </c>
      <c r="B17" s="246" t="s">
        <v>126</v>
      </c>
      <c r="C17" s="246" t="s">
        <v>126</v>
      </c>
      <c r="D17" s="246" t="s">
        <v>126</v>
      </c>
      <c r="E17" s="246" t="s">
        <v>126</v>
      </c>
      <c r="F17" s="246" t="s">
        <v>126</v>
      </c>
      <c r="G17" s="246" t="s">
        <v>126</v>
      </c>
      <c r="H17" s="246" t="s">
        <v>126</v>
      </c>
      <c r="I17" s="246">
        <v>2000000</v>
      </c>
      <c r="J17" s="246">
        <v>1489600</v>
      </c>
      <c r="K17" s="246">
        <v>3000000</v>
      </c>
      <c r="L17" s="280">
        <f>SUM(L9:L16)</f>
        <v>70011200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840">
        <v>0</v>
      </c>
      <c r="U17" s="246">
        <f t="shared" si="0"/>
        <v>0</v>
      </c>
    </row>
    <row r="18" spans="1:21" ht="24.95" customHeight="1">
      <c r="A18" s="392">
        <v>22107</v>
      </c>
      <c r="B18" s="246" t="s">
        <v>48</v>
      </c>
      <c r="C18" s="246" t="s">
        <v>48</v>
      </c>
      <c r="D18" s="246" t="s">
        <v>48</v>
      </c>
      <c r="E18" s="246" t="s">
        <v>48</v>
      </c>
      <c r="F18" s="246" t="s">
        <v>48</v>
      </c>
      <c r="G18" s="246" t="s">
        <v>48</v>
      </c>
      <c r="H18" s="246" t="s">
        <v>48</v>
      </c>
      <c r="I18" s="246">
        <v>0</v>
      </c>
      <c r="J18" s="246">
        <v>0</v>
      </c>
      <c r="K18" s="246">
        <v>0</v>
      </c>
      <c r="L18" s="246">
        <v>0</v>
      </c>
      <c r="M18" s="246">
        <v>3724000</v>
      </c>
      <c r="N18" s="246">
        <v>2606800</v>
      </c>
      <c r="O18" s="246">
        <f>N18*70%</f>
        <v>1824760</v>
      </c>
      <c r="P18" s="246">
        <f>O18</f>
        <v>1824760</v>
      </c>
      <c r="Q18" s="246">
        <f>P18</f>
        <v>1824760</v>
      </c>
      <c r="R18" s="246">
        <f>Q18</f>
        <v>1824760</v>
      </c>
      <c r="S18" s="246">
        <f>R18</f>
        <v>1824760</v>
      </c>
      <c r="T18" s="840">
        <f>S18</f>
        <v>1824760</v>
      </c>
      <c r="U18" s="246">
        <f t="shared" si="0"/>
        <v>0</v>
      </c>
    </row>
    <row r="19" spans="1:21" s="530" customFormat="1" ht="24.95" customHeight="1">
      <c r="A19" s="392">
        <v>22108</v>
      </c>
      <c r="B19" s="246" t="s">
        <v>93</v>
      </c>
      <c r="C19" s="246" t="s">
        <v>93</v>
      </c>
      <c r="D19" s="246" t="s">
        <v>93</v>
      </c>
      <c r="E19" s="246" t="s">
        <v>93</v>
      </c>
      <c r="F19" s="246" t="s">
        <v>93</v>
      </c>
      <c r="G19" s="246" t="s">
        <v>93</v>
      </c>
      <c r="H19" s="246" t="s">
        <v>93</v>
      </c>
      <c r="I19" s="280">
        <f>SUM(I15:I18)</f>
        <v>2000000</v>
      </c>
      <c r="J19" s="280">
        <f>SUM(J15:J18)</f>
        <v>1489600</v>
      </c>
      <c r="K19" s="280">
        <f>SUM(K15:K18)</f>
        <v>8000000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840">
        <v>0</v>
      </c>
      <c r="U19" s="246">
        <f t="shared" si="0"/>
        <v>0</v>
      </c>
    </row>
    <row r="20" spans="1:21" ht="24.95" customHeight="1">
      <c r="A20" s="392">
        <v>22109</v>
      </c>
      <c r="B20" s="246" t="s">
        <v>136</v>
      </c>
      <c r="C20" s="246" t="s">
        <v>136</v>
      </c>
      <c r="D20" s="246" t="s">
        <v>136</v>
      </c>
      <c r="E20" s="246" t="s">
        <v>136</v>
      </c>
      <c r="F20" s="246" t="s">
        <v>136</v>
      </c>
      <c r="G20" s="246" t="s">
        <v>136</v>
      </c>
      <c r="H20" s="246" t="s">
        <v>136</v>
      </c>
      <c r="I20" s="246"/>
      <c r="J20" s="246"/>
      <c r="K20" s="246"/>
      <c r="L20" s="246">
        <v>148176000</v>
      </c>
      <c r="M20" s="246">
        <v>13937600</v>
      </c>
      <c r="N20" s="246">
        <f t="shared" ref="N20:T20" si="2">13937600*70%</f>
        <v>9756320</v>
      </c>
      <c r="O20" s="246">
        <f t="shared" si="2"/>
        <v>9756320</v>
      </c>
      <c r="P20" s="246">
        <f t="shared" si="2"/>
        <v>9756320</v>
      </c>
      <c r="Q20" s="246">
        <f t="shared" si="2"/>
        <v>9756320</v>
      </c>
      <c r="R20" s="246">
        <f t="shared" si="2"/>
        <v>9756320</v>
      </c>
      <c r="S20" s="246">
        <f t="shared" si="2"/>
        <v>9756320</v>
      </c>
      <c r="T20" s="840">
        <f t="shared" si="2"/>
        <v>9756320</v>
      </c>
      <c r="U20" s="246">
        <f t="shared" si="0"/>
        <v>0</v>
      </c>
    </row>
    <row r="21" spans="1:21" ht="24.95" customHeight="1">
      <c r="A21" s="392">
        <v>22112</v>
      </c>
      <c r="B21" s="246" t="s">
        <v>35</v>
      </c>
      <c r="C21" s="246" t="s">
        <v>35</v>
      </c>
      <c r="D21" s="246" t="s">
        <v>35</v>
      </c>
      <c r="E21" s="246" t="s">
        <v>35</v>
      </c>
      <c r="F21" s="246" t="s">
        <v>35</v>
      </c>
      <c r="G21" s="246" t="s">
        <v>35</v>
      </c>
      <c r="H21" s="246" t="s">
        <v>35</v>
      </c>
      <c r="I21" s="246">
        <v>35000000</v>
      </c>
      <c r="J21" s="246">
        <v>29792000</v>
      </c>
      <c r="K21" s="246">
        <v>40000000</v>
      </c>
      <c r="L21" s="246">
        <v>11172000</v>
      </c>
      <c r="M21" s="246">
        <v>14192800</v>
      </c>
      <c r="N21" s="246">
        <v>9934960</v>
      </c>
      <c r="O21" s="246">
        <v>9934960</v>
      </c>
      <c r="P21" s="246">
        <v>9934960</v>
      </c>
      <c r="Q21" s="246">
        <v>9934960</v>
      </c>
      <c r="R21" s="246">
        <v>9934960</v>
      </c>
      <c r="S21" s="246">
        <v>9934960</v>
      </c>
      <c r="T21" s="840">
        <v>30000000</v>
      </c>
      <c r="U21" s="246">
        <f t="shared" si="0"/>
        <v>20065040</v>
      </c>
    </row>
    <row r="22" spans="1:21" ht="24.95" customHeight="1">
      <c r="A22" s="392">
        <v>22114</v>
      </c>
      <c r="B22" s="246" t="s">
        <v>288</v>
      </c>
      <c r="C22" s="246" t="s">
        <v>288</v>
      </c>
      <c r="D22" s="246" t="s">
        <v>288</v>
      </c>
      <c r="E22" s="246" t="s">
        <v>288</v>
      </c>
      <c r="F22" s="246" t="s">
        <v>288</v>
      </c>
      <c r="G22" s="246" t="s">
        <v>288</v>
      </c>
      <c r="H22" s="246" t="s">
        <v>288</v>
      </c>
      <c r="I22" s="246">
        <v>0</v>
      </c>
      <c r="J22" s="246">
        <v>0</v>
      </c>
      <c r="K22" s="246">
        <v>0</v>
      </c>
      <c r="L22" s="246">
        <v>7448000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  <c r="T22" s="840">
        <v>0</v>
      </c>
      <c r="U22" s="246">
        <f t="shared" si="0"/>
        <v>0</v>
      </c>
    </row>
    <row r="23" spans="1:21" ht="24.95" customHeight="1">
      <c r="A23" s="392">
        <v>22121</v>
      </c>
      <c r="B23" s="246" t="s">
        <v>308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80"/>
      <c r="M23" s="246">
        <v>37240000</v>
      </c>
      <c r="N23" s="246">
        <f>37240000*70%+100000000</f>
        <v>126068000</v>
      </c>
      <c r="O23" s="246">
        <v>156068000</v>
      </c>
      <c r="P23" s="246">
        <v>156068000</v>
      </c>
      <c r="Q23" s="246">
        <v>206068000</v>
      </c>
      <c r="R23" s="246">
        <v>206068000</v>
      </c>
      <c r="S23" s="246">
        <v>206068000</v>
      </c>
      <c r="T23" s="840">
        <v>206068000</v>
      </c>
      <c r="U23" s="246">
        <f t="shared" si="0"/>
        <v>0</v>
      </c>
    </row>
    <row r="24" spans="1:21" ht="24.95" customHeight="1">
      <c r="A24" s="392">
        <v>22132</v>
      </c>
      <c r="B24" s="246" t="s">
        <v>187</v>
      </c>
      <c r="C24" s="246" t="s">
        <v>187</v>
      </c>
      <c r="D24" s="246" t="s">
        <v>187</v>
      </c>
      <c r="E24" s="246" t="s">
        <v>187</v>
      </c>
      <c r="F24" s="246" t="s">
        <v>187</v>
      </c>
      <c r="G24" s="246" t="s">
        <v>187</v>
      </c>
      <c r="H24" s="246" t="s">
        <v>187</v>
      </c>
      <c r="I24" s="246">
        <v>0</v>
      </c>
      <c r="J24" s="246">
        <v>0</v>
      </c>
      <c r="K24" s="246">
        <v>0</v>
      </c>
      <c r="L24" s="246"/>
      <c r="M24" s="246">
        <v>89156800</v>
      </c>
      <c r="N24" s="246">
        <f>89156800*70%+100000000</f>
        <v>162409760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840">
        <v>0</v>
      </c>
      <c r="U24" s="246">
        <f t="shared" si="0"/>
        <v>0</v>
      </c>
    </row>
    <row r="25" spans="1:21" s="530" customFormat="1" ht="24.95" customHeight="1">
      <c r="A25" s="392">
        <v>22134</v>
      </c>
      <c r="B25" s="246" t="s">
        <v>281</v>
      </c>
      <c r="C25" s="246" t="s">
        <v>281</v>
      </c>
      <c r="D25" s="246" t="s">
        <v>281</v>
      </c>
      <c r="E25" s="246" t="s">
        <v>281</v>
      </c>
      <c r="F25" s="246" t="s">
        <v>281</v>
      </c>
      <c r="G25" s="246" t="s">
        <v>281</v>
      </c>
      <c r="H25" s="246" t="s">
        <v>281</v>
      </c>
      <c r="I25" s="280">
        <f>SUM(I21:I24)</f>
        <v>35000000</v>
      </c>
      <c r="J25" s="280">
        <f>SUM(J21:J24)</f>
        <v>29792000</v>
      </c>
      <c r="K25" s="280">
        <f>SUM(K21:K24)</f>
        <v>40000000</v>
      </c>
      <c r="L25" s="280"/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840">
        <v>0</v>
      </c>
      <c r="U25" s="246">
        <f t="shared" si="0"/>
        <v>0</v>
      </c>
    </row>
    <row r="26" spans="1:21" s="530" customFormat="1" ht="24.95" customHeight="1">
      <c r="A26" s="392">
        <v>22137</v>
      </c>
      <c r="B26" s="246" t="s">
        <v>546</v>
      </c>
      <c r="C26" s="246"/>
      <c r="D26" s="246"/>
      <c r="E26" s="246"/>
      <c r="F26" s="246"/>
      <c r="G26" s="246"/>
      <c r="H26" s="246"/>
      <c r="I26" s="280"/>
      <c r="J26" s="280"/>
      <c r="K26" s="280"/>
      <c r="L26" s="280"/>
      <c r="M26" s="246"/>
      <c r="N26" s="246"/>
      <c r="O26" s="246"/>
      <c r="P26" s="246"/>
      <c r="Q26" s="246"/>
      <c r="R26" s="246"/>
      <c r="S26" s="246">
        <v>150000000</v>
      </c>
      <c r="T26" s="840">
        <v>300000000</v>
      </c>
      <c r="U26" s="246">
        <f t="shared" si="0"/>
        <v>150000000</v>
      </c>
    </row>
    <row r="27" spans="1:21" s="530" customFormat="1" ht="24.95" customHeight="1">
      <c r="A27" s="392">
        <v>22169</v>
      </c>
      <c r="B27" s="246" t="s">
        <v>886</v>
      </c>
      <c r="C27" s="246"/>
      <c r="D27" s="246"/>
      <c r="E27" s="246"/>
      <c r="F27" s="246"/>
      <c r="G27" s="246"/>
      <c r="H27" s="246"/>
      <c r="I27" s="280"/>
      <c r="J27" s="280"/>
      <c r="K27" s="280"/>
      <c r="L27" s="280"/>
      <c r="M27" s="246"/>
      <c r="N27" s="246"/>
      <c r="O27" s="246"/>
      <c r="P27" s="246">
        <v>0</v>
      </c>
      <c r="Q27" s="246">
        <v>400000000</v>
      </c>
      <c r="R27" s="246">
        <v>400000000</v>
      </c>
      <c r="S27" s="246">
        <v>800000000</v>
      </c>
      <c r="T27" s="840">
        <v>1300000000</v>
      </c>
      <c r="U27" s="246">
        <f t="shared" si="0"/>
        <v>500000000</v>
      </c>
    </row>
    <row r="28" spans="1:21" s="530" customFormat="1" ht="24.95" customHeight="1">
      <c r="A28" s="392">
        <v>22154</v>
      </c>
      <c r="B28" s="246" t="s">
        <v>923</v>
      </c>
      <c r="C28" s="246"/>
      <c r="D28" s="246"/>
      <c r="E28" s="246"/>
      <c r="F28" s="246"/>
      <c r="G28" s="246"/>
      <c r="H28" s="246"/>
      <c r="I28" s="280"/>
      <c r="J28" s="280"/>
      <c r="K28" s="280"/>
      <c r="L28" s="280"/>
      <c r="M28" s="246"/>
      <c r="N28" s="246"/>
      <c r="O28" s="246"/>
      <c r="P28" s="246"/>
      <c r="Q28" s="246">
        <v>100000000</v>
      </c>
      <c r="R28" s="246">
        <v>100000000</v>
      </c>
      <c r="S28" s="246">
        <v>200000000</v>
      </c>
      <c r="T28" s="840">
        <v>200000000</v>
      </c>
      <c r="U28" s="246">
        <f t="shared" si="0"/>
        <v>0</v>
      </c>
    </row>
    <row r="29" spans="1:21" ht="24.95" customHeight="1">
      <c r="A29" s="476"/>
      <c r="B29" s="280" t="s">
        <v>92</v>
      </c>
      <c r="C29" s="280" t="s">
        <v>92</v>
      </c>
      <c r="D29" s="280" t="s">
        <v>92</v>
      </c>
      <c r="E29" s="280" t="s">
        <v>92</v>
      </c>
      <c r="F29" s="280" t="s">
        <v>92</v>
      </c>
      <c r="G29" s="280" t="s">
        <v>92</v>
      </c>
      <c r="H29" s="280" t="s">
        <v>92</v>
      </c>
      <c r="I29" s="246">
        <v>30000000</v>
      </c>
      <c r="J29" s="246">
        <v>26068000</v>
      </c>
      <c r="K29" s="246">
        <v>30000000</v>
      </c>
      <c r="L29" s="246">
        <v>0</v>
      </c>
      <c r="M29" s="280">
        <f>SUM(M12:M25)</f>
        <v>192684793</v>
      </c>
      <c r="N29" s="280">
        <f>SUM(N12:N25)</f>
        <v>334879355.10000002</v>
      </c>
      <c r="O29" s="280">
        <f>SUM(O12:O25)</f>
        <v>251687555.09999999</v>
      </c>
      <c r="P29" s="280">
        <f>SUM(P12:P25)</f>
        <v>251687555.09999999</v>
      </c>
      <c r="Q29" s="280">
        <f>SUM(Q12:Q28)</f>
        <v>801687555.10000002</v>
      </c>
      <c r="R29" s="280">
        <f>SUM(R12:R28)</f>
        <v>801687555.10000002</v>
      </c>
      <c r="S29" s="280">
        <f>SUM(S12:S28)</f>
        <v>1451687555.0999999</v>
      </c>
      <c r="T29" s="851">
        <f>SUM(T12:T28)</f>
        <v>2196752595.0999999</v>
      </c>
      <c r="U29" s="280">
        <f t="shared" si="0"/>
        <v>745065040</v>
      </c>
    </row>
    <row r="30" spans="1:21" ht="24.95" customHeight="1">
      <c r="A30" s="476">
        <v>2220</v>
      </c>
      <c r="B30" s="280" t="s">
        <v>240</v>
      </c>
      <c r="C30" s="280" t="s">
        <v>240</v>
      </c>
      <c r="D30" s="280" t="s">
        <v>240</v>
      </c>
      <c r="E30" s="280" t="s">
        <v>240</v>
      </c>
      <c r="F30" s="280" t="s">
        <v>240</v>
      </c>
      <c r="G30" s="280" t="s">
        <v>240</v>
      </c>
      <c r="H30" s="280" t="s">
        <v>240</v>
      </c>
      <c r="I30" s="246">
        <v>0</v>
      </c>
      <c r="J30" s="246">
        <v>0</v>
      </c>
      <c r="K30" s="246">
        <v>0</v>
      </c>
      <c r="L30" s="246">
        <v>0</v>
      </c>
      <c r="M30" s="246"/>
      <c r="N30" s="246"/>
      <c r="O30" s="246"/>
      <c r="P30" s="246"/>
      <c r="Q30" s="246"/>
      <c r="R30" s="246"/>
      <c r="S30" s="246"/>
      <c r="T30" s="840"/>
      <c r="U30" s="246">
        <f t="shared" si="0"/>
        <v>0</v>
      </c>
    </row>
    <row r="31" spans="1:21" ht="24.95" customHeight="1">
      <c r="A31" s="392">
        <v>22201</v>
      </c>
      <c r="B31" s="246" t="s">
        <v>132</v>
      </c>
      <c r="C31" s="246" t="s">
        <v>132</v>
      </c>
      <c r="D31" s="246" t="s">
        <v>132</v>
      </c>
      <c r="E31" s="246" t="s">
        <v>132</v>
      </c>
      <c r="F31" s="246" t="s">
        <v>132</v>
      </c>
      <c r="G31" s="246" t="s">
        <v>132</v>
      </c>
      <c r="H31" s="246" t="s">
        <v>132</v>
      </c>
      <c r="I31" s="246">
        <v>11232000</v>
      </c>
      <c r="J31" s="246">
        <v>8365593</v>
      </c>
      <c r="K31" s="246">
        <v>17000000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840">
        <v>0</v>
      </c>
      <c r="U31" s="246">
        <f t="shared" si="0"/>
        <v>0</v>
      </c>
    </row>
    <row r="32" spans="1:21" ht="24.95" customHeight="1">
      <c r="A32" s="392">
        <v>22202</v>
      </c>
      <c r="B32" s="246" t="s">
        <v>133</v>
      </c>
      <c r="C32" s="246" t="s">
        <v>133</v>
      </c>
      <c r="D32" s="246" t="s">
        <v>133</v>
      </c>
      <c r="E32" s="246" t="s">
        <v>133</v>
      </c>
      <c r="F32" s="246" t="s">
        <v>133</v>
      </c>
      <c r="G32" s="246" t="s">
        <v>133</v>
      </c>
      <c r="H32" s="246" t="s">
        <v>133</v>
      </c>
      <c r="I32" s="246">
        <v>5000000</v>
      </c>
      <c r="J32" s="246">
        <v>3724000</v>
      </c>
      <c r="K32" s="246">
        <v>8956000</v>
      </c>
      <c r="L32" s="280">
        <f>SUM(L29:L31)</f>
        <v>0</v>
      </c>
      <c r="M32" s="246">
        <v>305300000</v>
      </c>
      <c r="N32" s="246">
        <v>213710000</v>
      </c>
      <c r="O32" s="246">
        <f>N32*80%</f>
        <v>170968000</v>
      </c>
      <c r="P32" s="246">
        <f>O32</f>
        <v>170968000</v>
      </c>
      <c r="Q32" s="246">
        <f>P32</f>
        <v>170968000</v>
      </c>
      <c r="R32" s="246">
        <f>Q32</f>
        <v>170968000</v>
      </c>
      <c r="S32" s="246">
        <v>271000000</v>
      </c>
      <c r="T32" s="840">
        <v>371000000</v>
      </c>
      <c r="U32" s="246">
        <f t="shared" si="0"/>
        <v>100000000</v>
      </c>
    </row>
    <row r="33" spans="1:21" ht="24.95" customHeight="1">
      <c r="A33" s="392">
        <v>22203</v>
      </c>
      <c r="B33" s="246" t="s">
        <v>127</v>
      </c>
      <c r="C33" s="246" t="s">
        <v>127</v>
      </c>
      <c r="D33" s="246" t="s">
        <v>127</v>
      </c>
      <c r="E33" s="246" t="s">
        <v>127</v>
      </c>
      <c r="F33" s="246" t="s">
        <v>127</v>
      </c>
      <c r="G33" s="246" t="s">
        <v>127</v>
      </c>
      <c r="H33" s="246" t="s">
        <v>127</v>
      </c>
      <c r="I33" s="246">
        <v>12000000</v>
      </c>
      <c r="J33" s="246">
        <v>8937600</v>
      </c>
      <c r="K33" s="246">
        <v>10000000</v>
      </c>
      <c r="L33" s="246"/>
      <c r="M33" s="246">
        <v>21172000</v>
      </c>
      <c r="N33" s="246">
        <v>14820400</v>
      </c>
      <c r="O33" s="246">
        <v>14820400</v>
      </c>
      <c r="P33" s="246">
        <v>14820400</v>
      </c>
      <c r="Q33" s="246">
        <v>14820400</v>
      </c>
      <c r="R33" s="246">
        <v>14820400</v>
      </c>
      <c r="S33" s="246">
        <v>14820400</v>
      </c>
      <c r="T33" s="840">
        <v>14820400</v>
      </c>
      <c r="U33" s="246">
        <f t="shared" si="0"/>
        <v>0</v>
      </c>
    </row>
    <row r="34" spans="1:21" ht="24.95" customHeight="1">
      <c r="A34" s="392">
        <v>22204</v>
      </c>
      <c r="B34" s="246" t="s">
        <v>128</v>
      </c>
      <c r="C34" s="246" t="s">
        <v>128</v>
      </c>
      <c r="D34" s="246" t="s">
        <v>128</v>
      </c>
      <c r="E34" s="246" t="s">
        <v>128</v>
      </c>
      <c r="F34" s="246" t="s">
        <v>128</v>
      </c>
      <c r="G34" s="246" t="s">
        <v>128</v>
      </c>
      <c r="H34" s="246" t="s">
        <v>128</v>
      </c>
      <c r="I34" s="246">
        <v>8000000</v>
      </c>
      <c r="J34" s="246">
        <v>8192800</v>
      </c>
      <c r="K34" s="246">
        <v>16000000</v>
      </c>
      <c r="L34" s="246">
        <v>29792000</v>
      </c>
      <c r="M34" s="246">
        <v>7667915</v>
      </c>
      <c r="N34" s="246">
        <f t="shared" ref="N34:T34" si="3">7667915*70%</f>
        <v>5367540.5</v>
      </c>
      <c r="O34" s="246">
        <f t="shared" si="3"/>
        <v>5367540.5</v>
      </c>
      <c r="P34" s="246">
        <f t="shared" si="3"/>
        <v>5367540.5</v>
      </c>
      <c r="Q34" s="246">
        <f t="shared" si="3"/>
        <v>5367540.5</v>
      </c>
      <c r="R34" s="246">
        <f t="shared" si="3"/>
        <v>5367540.5</v>
      </c>
      <c r="S34" s="246">
        <f t="shared" si="3"/>
        <v>5367540.5</v>
      </c>
      <c r="T34" s="840">
        <f t="shared" si="3"/>
        <v>5367540.5</v>
      </c>
      <c r="U34" s="246">
        <f t="shared" si="0"/>
        <v>0</v>
      </c>
    </row>
    <row r="35" spans="1:21" ht="24.95" customHeight="1">
      <c r="A35" s="392"/>
      <c r="B35" s="280" t="s">
        <v>92</v>
      </c>
      <c r="C35" s="280" t="s">
        <v>92</v>
      </c>
      <c r="D35" s="280" t="s">
        <v>92</v>
      </c>
      <c r="E35" s="280" t="s">
        <v>92</v>
      </c>
      <c r="F35" s="280" t="s">
        <v>92</v>
      </c>
      <c r="G35" s="280" t="s">
        <v>92</v>
      </c>
      <c r="H35" s="280" t="s">
        <v>92</v>
      </c>
      <c r="I35" s="246">
        <v>0</v>
      </c>
      <c r="J35" s="246">
        <v>0</v>
      </c>
      <c r="K35" s="246">
        <v>0</v>
      </c>
      <c r="L35" s="246">
        <v>1489600</v>
      </c>
      <c r="M35" s="280">
        <f t="shared" ref="M35:R35" si="4">SUM(M31:M34)</f>
        <v>334139915</v>
      </c>
      <c r="N35" s="280">
        <f t="shared" si="4"/>
        <v>233897940.5</v>
      </c>
      <c r="O35" s="280">
        <f t="shared" si="4"/>
        <v>191155940.5</v>
      </c>
      <c r="P35" s="280">
        <f t="shared" si="4"/>
        <v>191155940.5</v>
      </c>
      <c r="Q35" s="280">
        <f t="shared" si="4"/>
        <v>191155940.5</v>
      </c>
      <c r="R35" s="280">
        <f t="shared" si="4"/>
        <v>191155940.5</v>
      </c>
      <c r="S35" s="280">
        <f>SUM(S31:S34)</f>
        <v>291187940.5</v>
      </c>
      <c r="T35" s="851">
        <f>SUM(T31:T34)</f>
        <v>391187940.5</v>
      </c>
      <c r="U35" s="280">
        <f t="shared" si="0"/>
        <v>100000000</v>
      </c>
    </row>
    <row r="36" spans="1:21" ht="24.95" customHeight="1">
      <c r="A36" s="476">
        <v>2230</v>
      </c>
      <c r="B36" s="280" t="s">
        <v>130</v>
      </c>
      <c r="C36" s="280" t="s">
        <v>130</v>
      </c>
      <c r="D36" s="280" t="s">
        <v>130</v>
      </c>
      <c r="E36" s="280" t="s">
        <v>130</v>
      </c>
      <c r="F36" s="280" t="s">
        <v>130</v>
      </c>
      <c r="G36" s="280" t="s">
        <v>130</v>
      </c>
      <c r="H36" s="280" t="s">
        <v>130</v>
      </c>
      <c r="I36" s="246"/>
      <c r="J36" s="246"/>
      <c r="K36" s="246"/>
      <c r="L36" s="246">
        <v>143746400</v>
      </c>
      <c r="M36" s="246"/>
      <c r="N36" s="246"/>
      <c r="O36" s="246"/>
      <c r="P36" s="246"/>
      <c r="Q36" s="246"/>
      <c r="R36" s="246"/>
      <c r="S36" s="246"/>
      <c r="T36" s="840"/>
      <c r="U36" s="246">
        <f t="shared" si="0"/>
        <v>0</v>
      </c>
    </row>
    <row r="37" spans="1:21" ht="24.95" customHeight="1">
      <c r="A37" s="392">
        <v>22301</v>
      </c>
      <c r="B37" s="246" t="s">
        <v>49</v>
      </c>
      <c r="C37" s="246" t="s">
        <v>49</v>
      </c>
      <c r="D37" s="246" t="s">
        <v>49</v>
      </c>
      <c r="E37" s="246" t="s">
        <v>49</v>
      </c>
      <c r="F37" s="246" t="s">
        <v>49</v>
      </c>
      <c r="G37" s="246" t="s">
        <v>49</v>
      </c>
      <c r="H37" s="246" t="s">
        <v>49</v>
      </c>
      <c r="I37" s="246">
        <v>0</v>
      </c>
      <c r="J37" s="246">
        <v>0</v>
      </c>
      <c r="K37" s="246">
        <v>0</v>
      </c>
      <c r="L37" s="280">
        <f>SUM(L33:L36)</f>
        <v>175028000</v>
      </c>
      <c r="M37" s="246">
        <v>39792000</v>
      </c>
      <c r="N37" s="246">
        <v>27854400</v>
      </c>
      <c r="O37" s="246">
        <v>27854400</v>
      </c>
      <c r="P37" s="246">
        <v>27854400</v>
      </c>
      <c r="Q37" s="246">
        <v>27854400</v>
      </c>
      <c r="R37" s="246">
        <v>27854400</v>
      </c>
      <c r="S37" s="246">
        <v>63000000</v>
      </c>
      <c r="T37" s="840">
        <v>63000000</v>
      </c>
      <c r="U37" s="246">
        <f t="shared" si="0"/>
        <v>0</v>
      </c>
    </row>
    <row r="38" spans="1:21" ht="24.95" customHeight="1">
      <c r="A38" s="392">
        <v>22302</v>
      </c>
      <c r="B38" s="246" t="s">
        <v>249</v>
      </c>
      <c r="C38" s="246" t="s">
        <v>249</v>
      </c>
      <c r="D38" s="246" t="s">
        <v>249</v>
      </c>
      <c r="E38" s="246" t="s">
        <v>249</v>
      </c>
      <c r="F38" s="246" t="s">
        <v>249</v>
      </c>
      <c r="G38" s="246" t="s">
        <v>249</v>
      </c>
      <c r="H38" s="246" t="s">
        <v>249</v>
      </c>
      <c r="I38" s="246">
        <v>193000000</v>
      </c>
      <c r="J38" s="246">
        <v>143746400</v>
      </c>
      <c r="K38" s="246">
        <v>190000000</v>
      </c>
      <c r="L38" s="280" t="e">
        <f>L37+L32+#REF!+L17+#REF!</f>
        <v>#REF!</v>
      </c>
      <c r="M38" s="246">
        <v>0</v>
      </c>
      <c r="N38" s="246">
        <v>0</v>
      </c>
      <c r="O38" s="246">
        <v>0</v>
      </c>
      <c r="P38" s="246">
        <v>0</v>
      </c>
      <c r="Q38" s="246">
        <v>50000000</v>
      </c>
      <c r="R38" s="246">
        <v>50000000</v>
      </c>
      <c r="S38" s="246">
        <v>0</v>
      </c>
      <c r="T38" s="840">
        <v>50000000</v>
      </c>
      <c r="U38" s="246">
        <f t="shared" si="0"/>
        <v>50000000</v>
      </c>
    </row>
    <row r="39" spans="1:21" ht="24.95" customHeight="1">
      <c r="A39" s="392">
        <v>22313</v>
      </c>
      <c r="B39" s="246" t="s">
        <v>251</v>
      </c>
      <c r="C39" s="246" t="s">
        <v>251</v>
      </c>
      <c r="D39" s="246" t="s">
        <v>251</v>
      </c>
      <c r="E39" s="246" t="s">
        <v>251</v>
      </c>
      <c r="F39" s="246" t="s">
        <v>251</v>
      </c>
      <c r="G39" s="246" t="s">
        <v>251</v>
      </c>
      <c r="H39" s="246" t="s">
        <v>251</v>
      </c>
      <c r="I39" s="292"/>
      <c r="J39" s="292"/>
      <c r="K39" s="292"/>
      <c r="L39" s="292"/>
      <c r="M39" s="246">
        <v>1489600</v>
      </c>
      <c r="N39" s="246">
        <f t="shared" ref="N39:T39" si="5">1489600*70%</f>
        <v>1042719.9999999999</v>
      </c>
      <c r="O39" s="246">
        <f t="shared" si="5"/>
        <v>1042719.9999999999</v>
      </c>
      <c r="P39" s="246">
        <f t="shared" si="5"/>
        <v>1042719.9999999999</v>
      </c>
      <c r="Q39" s="246">
        <f t="shared" si="5"/>
        <v>1042719.9999999999</v>
      </c>
      <c r="R39" s="246">
        <f t="shared" si="5"/>
        <v>1042719.9999999999</v>
      </c>
      <c r="S39" s="246">
        <f t="shared" si="5"/>
        <v>1042719.9999999999</v>
      </c>
      <c r="T39" s="840">
        <f t="shared" si="5"/>
        <v>1042719.9999999999</v>
      </c>
      <c r="U39" s="246">
        <f t="shared" si="0"/>
        <v>0</v>
      </c>
    </row>
    <row r="40" spans="1:21" ht="24.95" customHeight="1">
      <c r="A40" s="476"/>
      <c r="B40" s="280" t="s">
        <v>92</v>
      </c>
      <c r="C40" s="280" t="s">
        <v>92</v>
      </c>
      <c r="D40" s="280" t="s">
        <v>92</v>
      </c>
      <c r="E40" s="280" t="s">
        <v>92</v>
      </c>
      <c r="F40" s="280" t="s">
        <v>92</v>
      </c>
      <c r="G40" s="280" t="s">
        <v>92</v>
      </c>
      <c r="H40" s="280" t="s">
        <v>92</v>
      </c>
      <c r="I40" s="292"/>
      <c r="J40" s="292"/>
      <c r="K40" s="292"/>
      <c r="L40" s="292"/>
      <c r="M40" s="279">
        <f t="shared" ref="M40:Q40" si="6">SUM(M37:M39)</f>
        <v>41281600</v>
      </c>
      <c r="N40" s="279">
        <f t="shared" si="6"/>
        <v>28897120</v>
      </c>
      <c r="O40" s="279">
        <f t="shared" si="6"/>
        <v>28897120</v>
      </c>
      <c r="P40" s="279">
        <f t="shared" si="6"/>
        <v>28897120</v>
      </c>
      <c r="Q40" s="279">
        <f t="shared" si="6"/>
        <v>78897120</v>
      </c>
      <c r="R40" s="279">
        <f>SUM(R37:R39)</f>
        <v>78897120</v>
      </c>
      <c r="S40" s="279">
        <f>SUM(S37:S39)</f>
        <v>64042720</v>
      </c>
      <c r="T40" s="850">
        <f>SUM(T37:T39)</f>
        <v>114042720</v>
      </c>
      <c r="U40" s="280">
        <f t="shared" si="0"/>
        <v>50000000</v>
      </c>
    </row>
    <row r="41" spans="1:21" ht="24.95" customHeight="1">
      <c r="A41" s="476">
        <v>270</v>
      </c>
      <c r="B41" s="280" t="s">
        <v>253</v>
      </c>
      <c r="C41" s="280" t="s">
        <v>253</v>
      </c>
      <c r="D41" s="280" t="s">
        <v>253</v>
      </c>
      <c r="E41" s="280" t="s">
        <v>253</v>
      </c>
      <c r="F41" s="280" t="s">
        <v>253</v>
      </c>
      <c r="G41" s="280" t="s">
        <v>253</v>
      </c>
      <c r="H41" s="280" t="s">
        <v>253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867"/>
      <c r="U41" s="246">
        <f t="shared" si="0"/>
        <v>0</v>
      </c>
    </row>
    <row r="42" spans="1:21" ht="24.95" customHeight="1">
      <c r="A42" s="476">
        <v>2710</v>
      </c>
      <c r="B42" s="280" t="s">
        <v>252</v>
      </c>
      <c r="C42" s="280" t="s">
        <v>252</v>
      </c>
      <c r="D42" s="280" t="s">
        <v>252</v>
      </c>
      <c r="E42" s="280" t="s">
        <v>252</v>
      </c>
      <c r="F42" s="280" t="s">
        <v>252</v>
      </c>
      <c r="G42" s="280" t="s">
        <v>252</v>
      </c>
      <c r="H42" s="280" t="s">
        <v>252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867"/>
      <c r="U42" s="246">
        <f t="shared" si="0"/>
        <v>0</v>
      </c>
    </row>
    <row r="43" spans="1:21" ht="24.95" customHeight="1">
      <c r="A43" s="392">
        <v>27402</v>
      </c>
      <c r="B43" s="246" t="s">
        <v>287</v>
      </c>
      <c r="C43" s="246" t="s">
        <v>287</v>
      </c>
      <c r="D43" s="246" t="s">
        <v>287</v>
      </c>
      <c r="E43" s="246" t="s">
        <v>287</v>
      </c>
      <c r="F43" s="246" t="s">
        <v>287</v>
      </c>
      <c r="G43" s="246" t="s">
        <v>287</v>
      </c>
      <c r="H43" s="246" t="s">
        <v>287</v>
      </c>
      <c r="I43" s="292"/>
      <c r="J43" s="292"/>
      <c r="K43" s="292"/>
      <c r="L43" s="292"/>
      <c r="M43" s="246">
        <v>0</v>
      </c>
      <c r="N43" s="246">
        <v>0</v>
      </c>
      <c r="O43" s="246">
        <v>0</v>
      </c>
      <c r="P43" s="246">
        <v>96000000</v>
      </c>
      <c r="Q43" s="246">
        <v>120000000</v>
      </c>
      <c r="R43" s="246">
        <v>0</v>
      </c>
      <c r="S43" s="246">
        <v>150000000</v>
      </c>
      <c r="T43" s="840">
        <v>324000000</v>
      </c>
      <c r="U43" s="246">
        <f t="shared" si="0"/>
        <v>174000000</v>
      </c>
    </row>
    <row r="44" spans="1:21" ht="24.95" customHeight="1">
      <c r="A44" s="392">
        <v>27502</v>
      </c>
      <c r="B44" s="246" t="s">
        <v>148</v>
      </c>
      <c r="C44" s="246" t="s">
        <v>148</v>
      </c>
      <c r="D44" s="246" t="s">
        <v>148</v>
      </c>
      <c r="E44" s="246" t="s">
        <v>148</v>
      </c>
      <c r="F44" s="246" t="s">
        <v>148</v>
      </c>
      <c r="G44" s="246" t="s">
        <v>148</v>
      </c>
      <c r="H44" s="246" t="s">
        <v>148</v>
      </c>
      <c r="I44" s="292"/>
      <c r="J44" s="292"/>
      <c r="K44" s="292"/>
      <c r="L44" s="292"/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6">
        <v>0</v>
      </c>
      <c r="T44" s="840">
        <v>0</v>
      </c>
      <c r="U44" s="246">
        <f t="shared" si="0"/>
        <v>0</v>
      </c>
    </row>
    <row r="45" spans="1:21" ht="24.95" customHeight="1">
      <c r="A45" s="392">
        <v>27608</v>
      </c>
      <c r="B45" s="246" t="s">
        <v>1209</v>
      </c>
      <c r="C45" s="246"/>
      <c r="D45" s="246"/>
      <c r="E45" s="246"/>
      <c r="F45" s="246"/>
      <c r="G45" s="246"/>
      <c r="H45" s="246"/>
      <c r="I45" s="292"/>
      <c r="J45" s="292"/>
      <c r="K45" s="292"/>
      <c r="L45" s="292"/>
      <c r="M45" s="246"/>
      <c r="N45" s="246"/>
      <c r="O45" s="246"/>
      <c r="P45" s="246"/>
      <c r="Q45" s="246"/>
      <c r="R45" s="246">
        <v>0</v>
      </c>
      <c r="S45" s="246">
        <v>350000000</v>
      </c>
      <c r="T45" s="840">
        <v>0</v>
      </c>
      <c r="U45" s="246">
        <f t="shared" si="0"/>
        <v>-350000000</v>
      </c>
    </row>
    <row r="46" spans="1:21" ht="24.95" customHeight="1">
      <c r="A46" s="392"/>
      <c r="B46" s="280" t="s">
        <v>92</v>
      </c>
      <c r="C46" s="280" t="s">
        <v>92</v>
      </c>
      <c r="D46" s="280" t="s">
        <v>92</v>
      </c>
      <c r="E46" s="280" t="s">
        <v>92</v>
      </c>
      <c r="F46" s="280" t="s">
        <v>92</v>
      </c>
      <c r="G46" s="280" t="s">
        <v>92</v>
      </c>
      <c r="H46" s="280" t="s">
        <v>92</v>
      </c>
      <c r="I46" s="292"/>
      <c r="J46" s="292"/>
      <c r="K46" s="292"/>
      <c r="L46" s="292"/>
      <c r="M46" s="279">
        <f t="shared" ref="M46:Q46" si="7">SUM(M43:M44)</f>
        <v>0</v>
      </c>
      <c r="N46" s="279">
        <f t="shared" si="7"/>
        <v>0</v>
      </c>
      <c r="O46" s="279">
        <f t="shared" si="7"/>
        <v>0</v>
      </c>
      <c r="P46" s="279">
        <f t="shared" si="7"/>
        <v>96000000</v>
      </c>
      <c r="Q46" s="279">
        <f t="shared" si="7"/>
        <v>120000000</v>
      </c>
      <c r="R46" s="279">
        <f>SUM(R43:R44)</f>
        <v>0</v>
      </c>
      <c r="S46" s="279">
        <f>SUM(S43:S45)</f>
        <v>500000000</v>
      </c>
      <c r="T46" s="850">
        <f>SUM(T43:T45)</f>
        <v>324000000</v>
      </c>
      <c r="U46" s="280">
        <f>T46-S46</f>
        <v>-176000000</v>
      </c>
    </row>
    <row r="47" spans="1:21" ht="24.95" customHeight="1">
      <c r="A47" s="392">
        <v>2810</v>
      </c>
      <c r="B47" s="280" t="s">
        <v>1373</v>
      </c>
      <c r="C47" s="280"/>
      <c r="D47" s="280"/>
      <c r="E47" s="280"/>
      <c r="F47" s="280"/>
      <c r="G47" s="280"/>
      <c r="H47" s="280"/>
      <c r="I47" s="292"/>
      <c r="J47" s="292"/>
      <c r="K47" s="292"/>
      <c r="L47" s="292"/>
      <c r="M47" s="279"/>
      <c r="N47" s="279"/>
      <c r="O47" s="279"/>
      <c r="P47" s="279"/>
      <c r="Q47" s="279"/>
      <c r="R47" s="279"/>
      <c r="S47" s="279"/>
      <c r="T47" s="850"/>
      <c r="U47" s="246">
        <f t="shared" ref="U47:U49" si="8">T47-S47</f>
        <v>0</v>
      </c>
    </row>
    <row r="48" spans="1:21" ht="24.95" customHeight="1">
      <c r="A48" s="392">
        <v>28102</v>
      </c>
      <c r="B48" s="246" t="s">
        <v>509</v>
      </c>
      <c r="C48" s="280"/>
      <c r="D48" s="280"/>
      <c r="E48" s="280"/>
      <c r="F48" s="280"/>
      <c r="G48" s="280"/>
      <c r="H48" s="280"/>
      <c r="I48" s="292"/>
      <c r="J48" s="292"/>
      <c r="K48" s="292"/>
      <c r="L48" s="292"/>
      <c r="M48" s="279"/>
      <c r="N48" s="279"/>
      <c r="O48" s="279"/>
      <c r="P48" s="279"/>
      <c r="Q48" s="279"/>
      <c r="R48" s="279"/>
      <c r="S48" s="279"/>
      <c r="T48" s="853">
        <v>300000000</v>
      </c>
      <c r="U48" s="246">
        <f t="shared" si="8"/>
        <v>300000000</v>
      </c>
    </row>
    <row r="49" spans="1:21" ht="24.95" customHeight="1">
      <c r="A49" s="392"/>
      <c r="B49" s="280" t="s">
        <v>92</v>
      </c>
      <c r="C49" s="280"/>
      <c r="D49" s="280"/>
      <c r="E49" s="280"/>
      <c r="F49" s="280"/>
      <c r="G49" s="280"/>
      <c r="H49" s="280"/>
      <c r="I49" s="292"/>
      <c r="J49" s="292"/>
      <c r="K49" s="292"/>
      <c r="L49" s="292"/>
      <c r="M49" s="279"/>
      <c r="N49" s="279"/>
      <c r="O49" s="279"/>
      <c r="P49" s="279"/>
      <c r="Q49" s="279"/>
      <c r="R49" s="279"/>
      <c r="S49" s="279"/>
      <c r="T49" s="850">
        <f>SUM(T48)</f>
        <v>300000000</v>
      </c>
      <c r="U49" s="280">
        <f t="shared" si="8"/>
        <v>300000000</v>
      </c>
    </row>
    <row r="50" spans="1:21" ht="24.95" customHeight="1">
      <c r="A50" s="487"/>
      <c r="B50" s="280" t="s">
        <v>37</v>
      </c>
      <c r="C50" s="280" t="s">
        <v>37</v>
      </c>
      <c r="D50" s="280" t="s">
        <v>37</v>
      </c>
      <c r="E50" s="280" t="s">
        <v>37</v>
      </c>
      <c r="F50" s="280" t="s">
        <v>37</v>
      </c>
      <c r="G50" s="280" t="s">
        <v>37</v>
      </c>
      <c r="H50" s="280" t="s">
        <v>37</v>
      </c>
      <c r="I50" s="292"/>
      <c r="J50" s="292"/>
      <c r="K50" s="292"/>
      <c r="L50" s="292"/>
      <c r="M50" s="279" t="e">
        <f t="shared" ref="M50:Q50" si="9">M46+M40+M35+M29+M9</f>
        <v>#REF!</v>
      </c>
      <c r="N50" s="279">
        <f t="shared" si="9"/>
        <v>1347482415.5999999</v>
      </c>
      <c r="O50" s="279">
        <f t="shared" si="9"/>
        <v>1624523015.5999999</v>
      </c>
      <c r="P50" s="279">
        <f t="shared" si="9"/>
        <v>1925432615.5999999</v>
      </c>
      <c r="Q50" s="279">
        <f t="shared" si="9"/>
        <v>2254152455.5999999</v>
      </c>
      <c r="R50" s="279">
        <f>R46+R40+R35+R29+R9</f>
        <v>2423076935.5999999</v>
      </c>
      <c r="S50" s="279">
        <f>S46+S40+S35+S29+S9</f>
        <v>4430111815.6000004</v>
      </c>
      <c r="T50" s="850">
        <f>T46+T40+T35+T29+T9+T49</f>
        <v>6267499671.6000004</v>
      </c>
      <c r="U50" s="280">
        <f t="shared" si="0"/>
        <v>1837387856</v>
      </c>
    </row>
  </sheetData>
  <phoneticPr fontId="0" type="noConversion"/>
  <printOptions gridLines="1"/>
  <pageMargins left="0.6" right="0.25" top="0.83" bottom="0.48" header="0.2" footer="0.22"/>
  <pageSetup scale="55" orientation="portrait" r:id="rId1"/>
  <headerFooter alignWithMargins="0">
    <oddHeader xml:space="preserve">&amp;C&amp;"Algerian,Bold"&amp;36Wasaaradda MACDANTA IYO TAMARTA </oddHeader>
    <oddFooter>&amp;R&amp;"Times New Roman,Bold"&amp;14 34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topLeftCell="A37" zoomScale="60" workbookViewId="0">
      <selection activeCell="S50" sqref="S50"/>
    </sheetView>
  </sheetViews>
  <sheetFormatPr defaultRowHeight="27.95" customHeight="1"/>
  <cols>
    <col min="1" max="1" width="15.33203125" style="591" customWidth="1"/>
    <col min="2" max="2" width="81.1640625" style="585" customWidth="1"/>
    <col min="3" max="11" width="9.33203125" style="585" hidden="1" customWidth="1"/>
    <col min="12" max="12" width="17.6640625" style="585" hidden="1" customWidth="1"/>
    <col min="13" max="13" width="30.33203125" style="585" hidden="1" customWidth="1"/>
    <col min="14" max="14" width="36.83203125" style="592" hidden="1" customWidth="1"/>
    <col min="15" max="17" width="31" style="592" hidden="1" customWidth="1"/>
    <col min="18" max="20" width="31" style="592" customWidth="1"/>
    <col min="21" max="16384" width="9.33203125" style="585"/>
  </cols>
  <sheetData>
    <row r="1" spans="1:20" ht="27.95" customHeight="1">
      <c r="A1" s="571" t="s">
        <v>40</v>
      </c>
      <c r="B1" s="380" t="s">
        <v>1008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273"/>
      <c r="O1" s="273"/>
      <c r="P1" s="273"/>
      <c r="Q1" s="273"/>
      <c r="R1" s="273"/>
      <c r="S1" s="273"/>
      <c r="T1" s="273"/>
    </row>
    <row r="2" spans="1:20" ht="27.95" customHeight="1">
      <c r="A2" s="571" t="s">
        <v>25</v>
      </c>
      <c r="B2" s="381" t="s">
        <v>67</v>
      </c>
      <c r="C2" s="381" t="s">
        <v>38</v>
      </c>
      <c r="D2" s="548" t="s">
        <v>2</v>
      </c>
      <c r="E2" s="548" t="s">
        <v>43</v>
      </c>
      <c r="F2" s="548" t="s">
        <v>46</v>
      </c>
      <c r="G2" s="548" t="s">
        <v>55</v>
      </c>
      <c r="H2" s="548" t="s">
        <v>62</v>
      </c>
      <c r="I2" s="548" t="s">
        <v>101</v>
      </c>
      <c r="J2" s="548" t="s">
        <v>109</v>
      </c>
      <c r="K2" s="548" t="s">
        <v>117</v>
      </c>
      <c r="L2" s="548" t="s">
        <v>151</v>
      </c>
      <c r="M2" s="548" t="s">
        <v>257</v>
      </c>
      <c r="N2" s="586" t="s">
        <v>440</v>
      </c>
      <c r="O2" s="586" t="s">
        <v>814</v>
      </c>
      <c r="P2" s="586" t="s">
        <v>874</v>
      </c>
      <c r="Q2" s="586" t="s">
        <v>973</v>
      </c>
      <c r="R2" s="586" t="s">
        <v>1160</v>
      </c>
      <c r="S2" s="586" t="s">
        <v>1320</v>
      </c>
      <c r="T2" s="586" t="s">
        <v>56</v>
      </c>
    </row>
    <row r="3" spans="1:20" ht="27.95" customHeight="1">
      <c r="A3" s="476">
        <v>210</v>
      </c>
      <c r="B3" s="298" t="s">
        <v>137</v>
      </c>
      <c r="C3" s="547"/>
      <c r="D3" s="547"/>
      <c r="E3" s="547" t="s">
        <v>4</v>
      </c>
      <c r="F3" s="547" t="s">
        <v>4</v>
      </c>
      <c r="G3" s="547"/>
      <c r="H3" s="547"/>
      <c r="I3" s="547"/>
      <c r="J3" s="547"/>
      <c r="K3" s="547"/>
      <c r="L3" s="547"/>
      <c r="M3" s="547"/>
      <c r="N3" s="273"/>
      <c r="O3" s="273"/>
      <c r="P3" s="273"/>
      <c r="Q3" s="273"/>
      <c r="R3" s="273"/>
      <c r="S3" s="273"/>
      <c r="T3" s="273"/>
    </row>
    <row r="4" spans="1:20" ht="27.95" customHeight="1">
      <c r="A4" s="476">
        <v>2110</v>
      </c>
      <c r="B4" s="298" t="s">
        <v>213</v>
      </c>
      <c r="C4" s="273">
        <v>130480480</v>
      </c>
      <c r="D4" s="273">
        <v>159612000</v>
      </c>
      <c r="E4" s="273">
        <v>153084000</v>
      </c>
      <c r="F4" s="273">
        <v>162701000</v>
      </c>
      <c r="G4" s="273">
        <v>228108000</v>
      </c>
      <c r="H4" s="273">
        <f>228108000+3192000</f>
        <v>231300000</v>
      </c>
      <c r="I4" s="273">
        <f>281299200+12448800</f>
        <v>293748000</v>
      </c>
      <c r="J4" s="273">
        <f>302980800+54000000+6000000</f>
        <v>362980800</v>
      </c>
      <c r="K4" s="273">
        <f>362980800+12000000+3198000</f>
        <v>378178800</v>
      </c>
      <c r="L4" s="547"/>
      <c r="M4" s="575"/>
      <c r="N4" s="273"/>
      <c r="O4" s="273"/>
      <c r="P4" s="273"/>
      <c r="Q4" s="273"/>
      <c r="R4" s="273"/>
      <c r="S4" s="273"/>
      <c r="T4" s="273"/>
    </row>
    <row r="5" spans="1:20" ht="27.95" customHeight="1">
      <c r="A5" s="392">
        <v>21101</v>
      </c>
      <c r="B5" s="273" t="s">
        <v>28</v>
      </c>
      <c r="C5" s="273">
        <v>8803520</v>
      </c>
      <c r="D5" s="273">
        <v>0</v>
      </c>
      <c r="E5" s="273">
        <v>0</v>
      </c>
      <c r="F5" s="273">
        <v>0</v>
      </c>
      <c r="G5" s="273">
        <v>0</v>
      </c>
      <c r="H5" s="273">
        <v>0</v>
      </c>
      <c r="I5" s="273">
        <v>0</v>
      </c>
      <c r="J5" s="273">
        <v>0</v>
      </c>
      <c r="K5" s="273">
        <v>0</v>
      </c>
      <c r="L5" s="273">
        <v>417178800</v>
      </c>
      <c r="M5" s="273">
        <f>shaqaalaha2011!H32+36000000+12792000</f>
        <v>600470400</v>
      </c>
      <c r="N5" s="273">
        <v>571958400</v>
      </c>
      <c r="O5" s="273">
        <v>657103200</v>
      </c>
      <c r="P5" s="273">
        <v>889724160</v>
      </c>
      <c r="Q5" s="273">
        <v>1014399360</v>
      </c>
      <c r="R5" s="273">
        <v>1194523200</v>
      </c>
      <c r="S5" s="247">
        <v>1732446144</v>
      </c>
      <c r="T5" s="273">
        <f>S5-R5</f>
        <v>537922944</v>
      </c>
    </row>
    <row r="6" spans="1:20" ht="27.95" customHeight="1">
      <c r="A6" s="392">
        <v>22102</v>
      </c>
      <c r="B6" s="273" t="s">
        <v>554</v>
      </c>
      <c r="C6" s="273">
        <v>10800000</v>
      </c>
      <c r="D6" s="273">
        <v>10800000</v>
      </c>
      <c r="E6" s="273">
        <v>10800000</v>
      </c>
      <c r="F6" s="273">
        <v>10800000</v>
      </c>
      <c r="G6" s="273">
        <v>14400000</v>
      </c>
      <c r="H6" s="273">
        <f>G6</f>
        <v>14400000</v>
      </c>
      <c r="I6" s="273">
        <v>14400000</v>
      </c>
      <c r="J6" s="273">
        <f>14400000+32400000+1440000</f>
        <v>48240000</v>
      </c>
      <c r="K6" s="273">
        <f>48240000+1440000+7920000</f>
        <v>57600000</v>
      </c>
      <c r="L6" s="273">
        <v>0</v>
      </c>
      <c r="M6" s="273">
        <v>0</v>
      </c>
      <c r="N6" s="273">
        <v>194400000</v>
      </c>
      <c r="O6" s="273">
        <v>97400000</v>
      </c>
      <c r="P6" s="273">
        <v>97400000</v>
      </c>
      <c r="Q6" s="273">
        <v>194400000</v>
      </c>
      <c r="R6" s="273">
        <v>194400000</v>
      </c>
      <c r="S6" s="247">
        <v>194400000</v>
      </c>
      <c r="T6" s="273">
        <f t="shared" ref="T6:T50" si="0">S6-R6</f>
        <v>0</v>
      </c>
    </row>
    <row r="7" spans="1:20" ht="27.95" customHeight="1">
      <c r="A7" s="392">
        <v>22103</v>
      </c>
      <c r="B7" s="273" t="s">
        <v>30</v>
      </c>
      <c r="C7" s="298">
        <f t="shared" ref="C7:H7" si="1">SUM(C4:C6)</f>
        <v>150084000</v>
      </c>
      <c r="D7" s="298">
        <f t="shared" si="1"/>
        <v>170412000</v>
      </c>
      <c r="E7" s="298">
        <f t="shared" si="1"/>
        <v>163884000</v>
      </c>
      <c r="F7" s="298">
        <f t="shared" si="1"/>
        <v>173501000</v>
      </c>
      <c r="G7" s="298">
        <f t="shared" si="1"/>
        <v>242508000</v>
      </c>
      <c r="H7" s="298">
        <f t="shared" si="1"/>
        <v>245700000</v>
      </c>
      <c r="I7" s="298">
        <f>SUM(I4:I6)</f>
        <v>308148000</v>
      </c>
      <c r="J7" s="298">
        <f>SUM(J4:J6)</f>
        <v>411220800</v>
      </c>
      <c r="K7" s="273">
        <v>24000000</v>
      </c>
      <c r="L7" s="273">
        <v>84600000</v>
      </c>
      <c r="M7" s="273">
        <v>84600000</v>
      </c>
      <c r="N7" s="273">
        <v>91800000</v>
      </c>
      <c r="O7" s="273">
        <v>140400000</v>
      </c>
      <c r="P7" s="273">
        <v>198000000</v>
      </c>
      <c r="Q7" s="273">
        <v>270000000</v>
      </c>
      <c r="R7" s="775">
        <v>390000000</v>
      </c>
      <c r="S7" s="873">
        <v>390000000</v>
      </c>
      <c r="T7" s="273">
        <f t="shared" si="0"/>
        <v>0</v>
      </c>
    </row>
    <row r="8" spans="1:20" ht="27.95" customHeight="1">
      <c r="A8" s="392">
        <v>21105</v>
      </c>
      <c r="B8" s="273" t="s">
        <v>922</v>
      </c>
      <c r="C8" s="298"/>
      <c r="D8" s="298"/>
      <c r="E8" s="298"/>
      <c r="F8" s="298"/>
      <c r="G8" s="298"/>
      <c r="H8" s="298"/>
      <c r="I8" s="298"/>
      <c r="J8" s="298"/>
      <c r="K8" s="273"/>
      <c r="L8" s="273"/>
      <c r="M8" s="273">
        <v>48000000</v>
      </c>
      <c r="N8" s="273">
        <f>M8</f>
        <v>48000000</v>
      </c>
      <c r="O8" s="273">
        <f>N8</f>
        <v>48000000</v>
      </c>
      <c r="P8" s="273">
        <v>48000000</v>
      </c>
      <c r="Q8" s="273">
        <v>48000000</v>
      </c>
      <c r="R8" s="273">
        <v>132000000</v>
      </c>
      <c r="S8" s="247">
        <v>192000000</v>
      </c>
      <c r="T8" s="273">
        <f t="shared" si="0"/>
        <v>60000000</v>
      </c>
    </row>
    <row r="9" spans="1:20" ht="27.95" customHeight="1">
      <c r="A9" s="392"/>
      <c r="B9" s="298" t="s">
        <v>92</v>
      </c>
      <c r="C9" s="273"/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74480000</v>
      </c>
      <c r="L9" s="298" t="e">
        <f>#REF!+#REF!+L7+L5</f>
        <v>#REF!</v>
      </c>
      <c r="M9" s="298">
        <f>M8+M7+M5+M6</f>
        <v>733070400</v>
      </c>
      <c r="N9" s="298">
        <f>N8+N7+N5+N6</f>
        <v>906158400</v>
      </c>
      <c r="O9" s="298">
        <f>SUM(O5:O8)</f>
        <v>942903200</v>
      </c>
      <c r="P9" s="298">
        <f>SUM(P5:P8)</f>
        <v>1233124160</v>
      </c>
      <c r="Q9" s="298">
        <f>SUM(Q5:Q8)</f>
        <v>1526799360</v>
      </c>
      <c r="R9" s="298">
        <f>SUM(R5:R8)</f>
        <v>1910923200</v>
      </c>
      <c r="S9" s="256">
        <f>SUM(S5:S8)</f>
        <v>2508846144</v>
      </c>
      <c r="T9" s="298">
        <f t="shared" si="0"/>
        <v>597922944</v>
      </c>
    </row>
    <row r="10" spans="1:20" ht="27.95" customHeight="1">
      <c r="A10" s="476">
        <v>220</v>
      </c>
      <c r="B10" s="298" t="s">
        <v>225</v>
      </c>
      <c r="C10" s="273">
        <v>19668000</v>
      </c>
      <c r="D10" s="273">
        <v>5000000</v>
      </c>
      <c r="E10" s="273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0</v>
      </c>
      <c r="K10" s="273">
        <v>3724000</v>
      </c>
      <c r="L10" s="273"/>
      <c r="M10" s="273"/>
      <c r="N10" s="273"/>
      <c r="O10" s="273"/>
      <c r="P10" s="273"/>
      <c r="Q10" s="273"/>
      <c r="R10" s="273"/>
      <c r="S10" s="247"/>
      <c r="T10" s="273">
        <f t="shared" si="0"/>
        <v>0</v>
      </c>
    </row>
    <row r="11" spans="1:20" ht="27.95" customHeight="1">
      <c r="A11" s="476">
        <v>2210</v>
      </c>
      <c r="B11" s="298" t="s">
        <v>226</v>
      </c>
      <c r="C11" s="273">
        <v>0</v>
      </c>
      <c r="D11" s="273">
        <v>2094000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0</v>
      </c>
      <c r="K11" s="273">
        <v>7448000</v>
      </c>
      <c r="L11" s="273"/>
      <c r="M11" s="273"/>
      <c r="N11" s="273"/>
      <c r="O11" s="273"/>
      <c r="P11" s="273"/>
      <c r="Q11" s="273"/>
      <c r="R11" s="273"/>
      <c r="S11" s="247"/>
      <c r="T11" s="273">
        <f t="shared" si="0"/>
        <v>0</v>
      </c>
    </row>
    <row r="12" spans="1:20" ht="27.95" customHeight="1">
      <c r="A12" s="392">
        <v>22101</v>
      </c>
      <c r="B12" s="273" t="s">
        <v>33</v>
      </c>
      <c r="C12" s="273">
        <v>0</v>
      </c>
      <c r="D12" s="273">
        <v>25000000</v>
      </c>
      <c r="E12" s="273">
        <v>0</v>
      </c>
      <c r="F12" s="273">
        <v>0</v>
      </c>
      <c r="G12" s="273">
        <v>0</v>
      </c>
      <c r="H12" s="273">
        <v>105000000</v>
      </c>
      <c r="I12" s="273">
        <v>0</v>
      </c>
      <c r="J12" s="273">
        <v>158400000</v>
      </c>
      <c r="K12" s="273">
        <v>5958400</v>
      </c>
      <c r="L12" s="273">
        <v>18620000</v>
      </c>
      <c r="M12" s="273">
        <f>18620000*70%</f>
        <v>13034000</v>
      </c>
      <c r="N12" s="273">
        <f>18620000*70%</f>
        <v>13034000</v>
      </c>
      <c r="O12" s="273">
        <v>43034000</v>
      </c>
      <c r="P12" s="273">
        <v>83034000</v>
      </c>
      <c r="Q12" s="273">
        <v>83034000</v>
      </c>
      <c r="R12" s="273">
        <v>90000000</v>
      </c>
      <c r="S12" s="247">
        <v>90000000</v>
      </c>
      <c r="T12" s="273">
        <f t="shared" si="0"/>
        <v>0</v>
      </c>
    </row>
    <row r="13" spans="1:20" ht="27.95" customHeight="1">
      <c r="A13" s="392">
        <v>22104</v>
      </c>
      <c r="B13" s="273" t="s">
        <v>157</v>
      </c>
      <c r="C13" s="273"/>
      <c r="D13" s="273"/>
      <c r="E13" s="273"/>
      <c r="F13" s="273"/>
      <c r="G13" s="273"/>
      <c r="H13" s="273"/>
      <c r="I13" s="273"/>
      <c r="J13" s="273"/>
      <c r="K13" s="273">
        <v>660000000</v>
      </c>
      <c r="L13" s="273">
        <v>55336498</v>
      </c>
      <c r="M13" s="273">
        <v>38735548</v>
      </c>
      <c r="N13" s="273">
        <v>38735548</v>
      </c>
      <c r="O13" s="273">
        <v>38735548</v>
      </c>
      <c r="P13" s="273">
        <v>68735548</v>
      </c>
      <c r="Q13" s="273">
        <v>68735548</v>
      </c>
      <c r="R13" s="273">
        <v>68735548</v>
      </c>
      <c r="S13" s="247">
        <v>68735548</v>
      </c>
      <c r="T13" s="273">
        <f t="shared" si="0"/>
        <v>0</v>
      </c>
    </row>
    <row r="14" spans="1:20" ht="27.95" customHeight="1">
      <c r="A14" s="392">
        <v>22105</v>
      </c>
      <c r="B14" s="273" t="s">
        <v>135</v>
      </c>
      <c r="C14" s="273"/>
      <c r="D14" s="273">
        <v>0</v>
      </c>
      <c r="E14" s="273"/>
      <c r="F14" s="273">
        <v>4099000</v>
      </c>
      <c r="G14" s="273">
        <v>4000000</v>
      </c>
      <c r="H14" s="273">
        <v>30000000</v>
      </c>
      <c r="I14" s="273">
        <v>2234400</v>
      </c>
      <c r="J14" s="273">
        <v>6000000</v>
      </c>
      <c r="K14" s="273">
        <v>35218400</v>
      </c>
      <c r="L14" s="273">
        <v>5213600</v>
      </c>
      <c r="M14" s="273">
        <f>5213600*70%+36000000</f>
        <v>39649520</v>
      </c>
      <c r="N14" s="273">
        <v>88300000</v>
      </c>
      <c r="O14" s="273">
        <v>13000000</v>
      </c>
      <c r="P14" s="273">
        <v>33000000</v>
      </c>
      <c r="Q14" s="273">
        <v>33000000</v>
      </c>
      <c r="R14" s="273">
        <v>33000000</v>
      </c>
      <c r="S14" s="247">
        <v>33000000</v>
      </c>
      <c r="T14" s="273">
        <f t="shared" si="0"/>
        <v>0</v>
      </c>
    </row>
    <row r="15" spans="1:20" ht="27.95" customHeight="1">
      <c r="A15" s="392">
        <v>22106</v>
      </c>
      <c r="B15" s="273" t="s">
        <v>126</v>
      </c>
      <c r="C15" s="273"/>
      <c r="D15" s="273"/>
      <c r="E15" s="273"/>
      <c r="F15" s="273"/>
      <c r="G15" s="273"/>
      <c r="H15" s="273"/>
      <c r="I15" s="273"/>
      <c r="J15" s="273"/>
      <c r="K15" s="298">
        <f>SUM(K9:K14)</f>
        <v>786828800</v>
      </c>
      <c r="L15" s="273">
        <v>74480000</v>
      </c>
      <c r="M15" s="273">
        <f>74480000*70%</f>
        <v>52136000</v>
      </c>
      <c r="N15" s="273">
        <v>0</v>
      </c>
      <c r="O15" s="273">
        <v>0</v>
      </c>
      <c r="P15" s="273">
        <v>0</v>
      </c>
      <c r="Q15" s="273">
        <v>0</v>
      </c>
      <c r="R15" s="273">
        <v>50000000</v>
      </c>
      <c r="S15" s="247">
        <v>100000000</v>
      </c>
      <c r="T15" s="273">
        <f t="shared" si="0"/>
        <v>50000000</v>
      </c>
    </row>
    <row r="16" spans="1:20" ht="27.95" customHeight="1">
      <c r="A16" s="392">
        <v>22107</v>
      </c>
      <c r="B16" s="273" t="s">
        <v>48</v>
      </c>
      <c r="C16" s="273">
        <v>20000000</v>
      </c>
      <c r="D16" s="273">
        <v>7000000</v>
      </c>
      <c r="E16" s="273">
        <v>7000000</v>
      </c>
      <c r="F16" s="273">
        <v>40000000</v>
      </c>
      <c r="G16" s="273">
        <v>16000000</v>
      </c>
      <c r="H16" s="273">
        <v>20000000</v>
      </c>
      <c r="I16" s="273">
        <v>14896000</v>
      </c>
      <c r="J16" s="273">
        <v>30000000</v>
      </c>
      <c r="K16" s="273"/>
      <c r="L16" s="273">
        <v>43724000</v>
      </c>
      <c r="M16" s="273">
        <v>30606800</v>
      </c>
      <c r="N16" s="273">
        <f>M16*70%</f>
        <v>21424760</v>
      </c>
      <c r="O16" s="273">
        <v>31424760</v>
      </c>
      <c r="P16" s="273">
        <v>31424760</v>
      </c>
      <c r="Q16" s="273">
        <v>31424760</v>
      </c>
      <c r="R16" s="273">
        <v>51424760</v>
      </c>
      <c r="S16" s="247">
        <v>51424760</v>
      </c>
      <c r="T16" s="273">
        <f t="shared" si="0"/>
        <v>0</v>
      </c>
    </row>
    <row r="17" spans="1:20" ht="27.95" customHeight="1">
      <c r="A17" s="392">
        <v>22109</v>
      </c>
      <c r="B17" s="273" t="s">
        <v>136</v>
      </c>
      <c r="C17" s="273">
        <v>12704000</v>
      </c>
      <c r="D17" s="273">
        <v>6500000</v>
      </c>
      <c r="E17" s="273">
        <v>6500000</v>
      </c>
      <c r="F17" s="273">
        <v>6500000</v>
      </c>
      <c r="G17" s="273">
        <v>6400000</v>
      </c>
      <c r="H17" s="273">
        <v>0</v>
      </c>
      <c r="I17" s="273">
        <v>7448000</v>
      </c>
      <c r="J17" s="273">
        <v>10000000</v>
      </c>
      <c r="K17" s="273">
        <v>210940800</v>
      </c>
      <c r="L17" s="273">
        <v>7448000</v>
      </c>
      <c r="M17" s="273">
        <f t="shared" ref="M17:S17" si="2">7448000*70%</f>
        <v>5213600</v>
      </c>
      <c r="N17" s="273">
        <f t="shared" si="2"/>
        <v>5213600</v>
      </c>
      <c r="O17" s="273">
        <f t="shared" si="2"/>
        <v>5213600</v>
      </c>
      <c r="P17" s="273">
        <f t="shared" si="2"/>
        <v>5213600</v>
      </c>
      <c r="Q17" s="273">
        <f t="shared" si="2"/>
        <v>5213600</v>
      </c>
      <c r="R17" s="273">
        <f t="shared" si="2"/>
        <v>5213600</v>
      </c>
      <c r="S17" s="247">
        <f t="shared" si="2"/>
        <v>5213600</v>
      </c>
      <c r="T17" s="273">
        <f t="shared" si="0"/>
        <v>0</v>
      </c>
    </row>
    <row r="18" spans="1:20" ht="27.95" customHeight="1">
      <c r="A18" s="392">
        <v>22112</v>
      </c>
      <c r="B18" s="273" t="s">
        <v>35</v>
      </c>
      <c r="C18" s="298">
        <f t="shared" ref="C18:J18" si="3">SUM(C16:C17)</f>
        <v>32704000</v>
      </c>
      <c r="D18" s="298">
        <f t="shared" si="3"/>
        <v>13500000</v>
      </c>
      <c r="E18" s="298">
        <f t="shared" si="3"/>
        <v>13500000</v>
      </c>
      <c r="F18" s="298">
        <f t="shared" si="3"/>
        <v>46500000</v>
      </c>
      <c r="G18" s="298">
        <f t="shared" si="3"/>
        <v>22400000</v>
      </c>
      <c r="H18" s="298">
        <f t="shared" si="3"/>
        <v>20000000</v>
      </c>
      <c r="I18" s="298">
        <f t="shared" si="3"/>
        <v>22344000</v>
      </c>
      <c r="J18" s="298">
        <f t="shared" si="3"/>
        <v>40000000</v>
      </c>
      <c r="K18" s="273">
        <v>13406400</v>
      </c>
      <c r="L18" s="273">
        <v>11058400</v>
      </c>
      <c r="M18" s="273">
        <v>7740880</v>
      </c>
      <c r="N18" s="273">
        <v>7740880</v>
      </c>
      <c r="O18" s="273">
        <v>22740880</v>
      </c>
      <c r="P18" s="273">
        <v>22740880</v>
      </c>
      <c r="Q18" s="273">
        <v>22740880</v>
      </c>
      <c r="R18" s="273">
        <v>22740880</v>
      </c>
      <c r="S18" s="247">
        <v>22740880</v>
      </c>
      <c r="T18" s="273">
        <f t="shared" si="0"/>
        <v>0</v>
      </c>
    </row>
    <row r="19" spans="1:20" ht="27.95" customHeight="1">
      <c r="A19" s="392">
        <v>22117</v>
      </c>
      <c r="B19" s="273" t="s">
        <v>357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>
        <v>200000000</v>
      </c>
      <c r="M19" s="273">
        <f>200000000*70%</f>
        <v>140000000</v>
      </c>
      <c r="N19" s="273">
        <f>200000000*70%</f>
        <v>140000000</v>
      </c>
      <c r="O19" s="273">
        <f>200000000*70%</f>
        <v>140000000</v>
      </c>
      <c r="P19" s="273">
        <v>200000000</v>
      </c>
      <c r="Q19" s="273">
        <v>200000000</v>
      </c>
      <c r="R19" s="273">
        <v>250000000</v>
      </c>
      <c r="S19" s="247">
        <v>300000000</v>
      </c>
      <c r="T19" s="273">
        <f t="shared" si="0"/>
        <v>50000000</v>
      </c>
    </row>
    <row r="20" spans="1:20" ht="27.95" customHeight="1">
      <c r="A20" s="392">
        <v>22132</v>
      </c>
      <c r="B20" s="273" t="s">
        <v>187</v>
      </c>
      <c r="C20" s="273">
        <v>0</v>
      </c>
      <c r="D20" s="273">
        <v>0</v>
      </c>
      <c r="E20" s="273">
        <v>0</v>
      </c>
      <c r="F20" s="273">
        <v>10000000</v>
      </c>
      <c r="G20" s="273">
        <v>0</v>
      </c>
      <c r="H20" s="273">
        <v>0</v>
      </c>
      <c r="I20" s="273">
        <v>0</v>
      </c>
      <c r="J20" s="273">
        <v>0</v>
      </c>
      <c r="K20" s="273"/>
      <c r="L20" s="273">
        <v>65218400</v>
      </c>
      <c r="M20" s="273">
        <f>65218400*70%</f>
        <v>45652880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47">
        <v>0</v>
      </c>
      <c r="T20" s="273">
        <f t="shared" si="0"/>
        <v>0</v>
      </c>
    </row>
    <row r="21" spans="1:20" ht="27.95" customHeight="1">
      <c r="A21" s="392">
        <v>22137</v>
      </c>
      <c r="B21" s="273" t="s">
        <v>546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>
        <v>100000000</v>
      </c>
      <c r="P21" s="273">
        <v>180000000</v>
      </c>
      <c r="Q21" s="273">
        <v>180000000</v>
      </c>
      <c r="R21" s="273">
        <v>200000000</v>
      </c>
      <c r="S21" s="247">
        <v>300000000</v>
      </c>
      <c r="T21" s="273">
        <f t="shared" si="0"/>
        <v>100000000</v>
      </c>
    </row>
    <row r="22" spans="1:20" ht="27.95" customHeight="1">
      <c r="A22" s="476"/>
      <c r="B22" s="298" t="s">
        <v>92</v>
      </c>
      <c r="C22" s="273">
        <v>0</v>
      </c>
      <c r="D22" s="273">
        <v>0</v>
      </c>
      <c r="E22" s="273">
        <v>0</v>
      </c>
      <c r="F22" s="273">
        <v>0</v>
      </c>
      <c r="G22" s="273">
        <v>0</v>
      </c>
      <c r="H22" s="273">
        <v>145000000</v>
      </c>
      <c r="I22" s="273">
        <v>74480000</v>
      </c>
      <c r="J22" s="273">
        <v>74480000</v>
      </c>
      <c r="K22" s="273">
        <v>0</v>
      </c>
      <c r="L22" s="298">
        <f>SUM(L12:L20)</f>
        <v>481098898</v>
      </c>
      <c r="M22" s="298">
        <f>SUM(M12:M20)</f>
        <v>372769228</v>
      </c>
      <c r="N22" s="298">
        <f t="shared" ref="N22:S22" si="4">SUM(N11:N21)</f>
        <v>314448788</v>
      </c>
      <c r="O22" s="298">
        <f t="shared" si="4"/>
        <v>394148788</v>
      </c>
      <c r="P22" s="298">
        <f t="shared" si="4"/>
        <v>624148788</v>
      </c>
      <c r="Q22" s="298">
        <f t="shared" si="4"/>
        <v>624148788</v>
      </c>
      <c r="R22" s="298">
        <f t="shared" si="4"/>
        <v>771114788</v>
      </c>
      <c r="S22" s="256">
        <f t="shared" si="4"/>
        <v>971114788</v>
      </c>
      <c r="T22" s="298">
        <f t="shared" si="0"/>
        <v>200000000</v>
      </c>
    </row>
    <row r="23" spans="1:20" ht="27.95" customHeight="1">
      <c r="A23" s="476">
        <v>2220</v>
      </c>
      <c r="B23" s="298" t="s">
        <v>240</v>
      </c>
      <c r="C23" s="273">
        <v>0</v>
      </c>
      <c r="D23" s="273">
        <v>3000000</v>
      </c>
      <c r="E23" s="273">
        <v>3000000</v>
      </c>
      <c r="F23" s="273">
        <v>3000000</v>
      </c>
      <c r="G23" s="273">
        <v>4000000</v>
      </c>
      <c r="H23" s="273">
        <v>5000000</v>
      </c>
      <c r="I23" s="273">
        <v>3724000</v>
      </c>
      <c r="J23" s="273">
        <v>6000000</v>
      </c>
      <c r="K23" s="273">
        <v>3724000</v>
      </c>
      <c r="L23" s="273"/>
      <c r="M23" s="273"/>
      <c r="N23" s="273"/>
      <c r="O23" s="273"/>
      <c r="P23" s="273"/>
      <c r="Q23" s="273"/>
      <c r="R23" s="273"/>
      <c r="S23" s="247"/>
      <c r="T23" s="273">
        <f t="shared" si="0"/>
        <v>0</v>
      </c>
    </row>
    <row r="24" spans="1:20" ht="27.95" customHeight="1">
      <c r="A24" s="392">
        <v>22202</v>
      </c>
      <c r="B24" s="273" t="s">
        <v>536</v>
      </c>
      <c r="C24" s="273"/>
      <c r="D24" s="273"/>
      <c r="E24" s="273"/>
      <c r="F24" s="273"/>
      <c r="G24" s="273"/>
      <c r="H24" s="273"/>
      <c r="I24" s="273"/>
      <c r="J24" s="273"/>
      <c r="K24" s="273">
        <v>0</v>
      </c>
      <c r="L24" s="273">
        <v>263265420</v>
      </c>
      <c r="M24" s="273">
        <v>184285794</v>
      </c>
      <c r="N24" s="273">
        <v>304285794</v>
      </c>
      <c r="O24" s="273">
        <v>304285794</v>
      </c>
      <c r="P24" s="273">
        <v>324285794</v>
      </c>
      <c r="Q24" s="273">
        <v>324285794</v>
      </c>
      <c r="R24" s="273">
        <v>374285794</v>
      </c>
      <c r="S24" s="247">
        <v>454285794</v>
      </c>
      <c r="T24" s="273">
        <f t="shared" si="0"/>
        <v>80000000</v>
      </c>
    </row>
    <row r="25" spans="1:20" ht="27.95" customHeight="1">
      <c r="A25" s="392">
        <v>22203</v>
      </c>
      <c r="B25" s="273" t="s">
        <v>127</v>
      </c>
      <c r="C25" s="273">
        <v>0</v>
      </c>
      <c r="D25" s="273">
        <v>0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98">
        <f>SUM(K22:K24)</f>
        <v>3724000</v>
      </c>
      <c r="L25" s="273">
        <v>16406400</v>
      </c>
      <c r="M25" s="273">
        <v>11484480</v>
      </c>
      <c r="N25" s="273">
        <v>11484480</v>
      </c>
      <c r="O25" s="273">
        <v>11484480</v>
      </c>
      <c r="P25" s="273">
        <v>26484480</v>
      </c>
      <c r="Q25" s="273">
        <v>26484480</v>
      </c>
      <c r="R25" s="273">
        <v>26484480</v>
      </c>
      <c r="S25" s="247">
        <v>26484480</v>
      </c>
      <c r="T25" s="273">
        <f t="shared" si="0"/>
        <v>0</v>
      </c>
    </row>
    <row r="26" spans="1:20" ht="27.95" customHeight="1">
      <c r="A26" s="392">
        <v>22204</v>
      </c>
      <c r="B26" s="273" t="s">
        <v>128</v>
      </c>
      <c r="C26" s="273">
        <v>0</v>
      </c>
      <c r="D26" s="273">
        <v>4500000</v>
      </c>
      <c r="E26" s="273">
        <v>4500000</v>
      </c>
      <c r="F26" s="273">
        <v>0</v>
      </c>
      <c r="G26" s="273">
        <v>0</v>
      </c>
      <c r="H26" s="273">
        <v>0</v>
      </c>
      <c r="I26" s="273">
        <v>0</v>
      </c>
      <c r="J26" s="273">
        <v>0</v>
      </c>
      <c r="K26" s="273"/>
      <c r="L26" s="273">
        <v>8703200</v>
      </c>
      <c r="M26" s="273">
        <f t="shared" ref="M26:Q26" si="5">8703200*70%</f>
        <v>6092240</v>
      </c>
      <c r="N26" s="273">
        <f t="shared" si="5"/>
        <v>6092240</v>
      </c>
      <c r="O26" s="273">
        <f t="shared" si="5"/>
        <v>6092240</v>
      </c>
      <c r="P26" s="273">
        <f t="shared" si="5"/>
        <v>6092240</v>
      </c>
      <c r="Q26" s="273">
        <f t="shared" si="5"/>
        <v>6092240</v>
      </c>
      <c r="R26" s="273">
        <v>10092240</v>
      </c>
      <c r="S26" s="247">
        <v>10092240</v>
      </c>
      <c r="T26" s="273">
        <f t="shared" si="0"/>
        <v>0</v>
      </c>
    </row>
    <row r="27" spans="1:20" ht="27.95" customHeight="1">
      <c r="A27" s="392"/>
      <c r="B27" s="298" t="s">
        <v>92</v>
      </c>
      <c r="C27" s="273">
        <v>30000000</v>
      </c>
      <c r="D27" s="273">
        <v>0</v>
      </c>
      <c r="E27" s="273">
        <v>0</v>
      </c>
      <c r="F27" s="273">
        <v>0</v>
      </c>
      <c r="G27" s="273">
        <v>64000000</v>
      </c>
      <c r="H27" s="273">
        <v>64000000</v>
      </c>
      <c r="I27" s="273">
        <v>35218400</v>
      </c>
      <c r="J27" s="273">
        <v>45000000</v>
      </c>
      <c r="K27" s="273">
        <v>7448000</v>
      </c>
      <c r="L27" s="298">
        <f>L26+L25+L24</f>
        <v>288375020</v>
      </c>
      <c r="M27" s="298">
        <f>M26+M25+M24</f>
        <v>201862514</v>
      </c>
      <c r="N27" s="298">
        <f>N26+N25+N24</f>
        <v>321862514</v>
      </c>
      <c r="O27" s="298">
        <f>SUM(O24:O26)</f>
        <v>321862514</v>
      </c>
      <c r="P27" s="298">
        <f>SUM(P24:P26)</f>
        <v>356862514</v>
      </c>
      <c r="Q27" s="298">
        <f>SUM(Q24:Q26)</f>
        <v>356862514</v>
      </c>
      <c r="R27" s="298">
        <f>SUM(R24:R26)</f>
        <v>410862514</v>
      </c>
      <c r="S27" s="256">
        <f>SUM(S24:S26)</f>
        <v>490862514</v>
      </c>
      <c r="T27" s="298">
        <f t="shared" si="0"/>
        <v>80000000</v>
      </c>
    </row>
    <row r="28" spans="1:20" ht="27.95" customHeight="1">
      <c r="A28" s="476">
        <v>2230</v>
      </c>
      <c r="B28" s="298" t="s">
        <v>130</v>
      </c>
      <c r="C28" s="298">
        <f t="shared" ref="C28:J28" si="6">SUM(C20:C27)</f>
        <v>30000000</v>
      </c>
      <c r="D28" s="298">
        <f t="shared" si="6"/>
        <v>7500000</v>
      </c>
      <c r="E28" s="298">
        <f t="shared" si="6"/>
        <v>7500000</v>
      </c>
      <c r="F28" s="298">
        <f t="shared" si="6"/>
        <v>13000000</v>
      </c>
      <c r="G28" s="298">
        <f t="shared" si="6"/>
        <v>68000000</v>
      </c>
      <c r="H28" s="298">
        <f t="shared" si="6"/>
        <v>214000000</v>
      </c>
      <c r="I28" s="298">
        <f t="shared" si="6"/>
        <v>113422400</v>
      </c>
      <c r="J28" s="298">
        <f t="shared" si="6"/>
        <v>125480000</v>
      </c>
      <c r="K28" s="298">
        <f>SUM(K27:K27)</f>
        <v>7448000</v>
      </c>
      <c r="L28" s="298"/>
      <c r="M28" s="298"/>
      <c r="N28" s="298"/>
      <c r="O28" s="298"/>
      <c r="P28" s="298"/>
      <c r="Q28" s="298"/>
      <c r="R28" s="298"/>
      <c r="S28" s="256"/>
      <c r="T28" s="273">
        <f t="shared" si="0"/>
        <v>0</v>
      </c>
    </row>
    <row r="29" spans="1:20" ht="27.95" customHeight="1">
      <c r="A29" s="392">
        <v>22301</v>
      </c>
      <c r="B29" s="273" t="s">
        <v>49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73">
        <v>34896000</v>
      </c>
      <c r="M29" s="273">
        <v>24427200</v>
      </c>
      <c r="N29" s="273">
        <v>84000000</v>
      </c>
      <c r="O29" s="273">
        <v>84000000</v>
      </c>
      <c r="P29" s="273">
        <v>84000000</v>
      </c>
      <c r="Q29" s="273">
        <v>84000000</v>
      </c>
      <c r="R29" s="273">
        <v>100000000</v>
      </c>
      <c r="S29" s="247">
        <v>100000000</v>
      </c>
      <c r="T29" s="273">
        <f t="shared" si="0"/>
        <v>0</v>
      </c>
    </row>
    <row r="30" spans="1:20" ht="27.95" customHeight="1">
      <c r="A30" s="392">
        <v>22302</v>
      </c>
      <c r="B30" s="273" t="s">
        <v>249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73">
        <v>7448000</v>
      </c>
      <c r="M30" s="273">
        <f>7448000*70%</f>
        <v>5213600</v>
      </c>
      <c r="N30" s="273">
        <v>30213600</v>
      </c>
      <c r="O30" s="273">
        <v>30213600</v>
      </c>
      <c r="P30" s="273">
        <v>90213600</v>
      </c>
      <c r="Q30" s="273">
        <v>90213600</v>
      </c>
      <c r="R30" s="273">
        <v>90213600</v>
      </c>
      <c r="S30" s="247">
        <v>90213600</v>
      </c>
      <c r="T30" s="273">
        <f t="shared" si="0"/>
        <v>0</v>
      </c>
    </row>
    <row r="31" spans="1:20" ht="27.95" customHeight="1">
      <c r="A31" s="392">
        <v>22313</v>
      </c>
      <c r="B31" s="273" t="s">
        <v>1347</v>
      </c>
      <c r="C31" s="547"/>
      <c r="D31" s="547"/>
      <c r="E31" s="547"/>
      <c r="F31" s="547"/>
      <c r="G31" s="547"/>
      <c r="H31" s="547"/>
      <c r="I31" s="547"/>
      <c r="J31" s="547"/>
      <c r="K31" s="547"/>
      <c r="L31" s="273">
        <v>0</v>
      </c>
      <c r="M31" s="273">
        <v>0</v>
      </c>
      <c r="N31" s="273">
        <v>0</v>
      </c>
      <c r="O31" s="273">
        <v>0</v>
      </c>
      <c r="P31" s="273">
        <v>0</v>
      </c>
      <c r="Q31" s="273">
        <v>0</v>
      </c>
      <c r="R31" s="273">
        <v>0</v>
      </c>
      <c r="S31" s="247">
        <v>600000000</v>
      </c>
      <c r="T31" s="273">
        <f t="shared" si="0"/>
        <v>600000000</v>
      </c>
    </row>
    <row r="32" spans="1:20" ht="27.95" customHeight="1">
      <c r="A32" s="392"/>
      <c r="B32" s="298" t="s">
        <v>92</v>
      </c>
      <c r="C32" s="547"/>
      <c r="D32" s="547"/>
      <c r="E32" s="547"/>
      <c r="F32" s="547">
        <v>0</v>
      </c>
      <c r="G32" s="547"/>
      <c r="H32" s="547"/>
      <c r="I32" s="547"/>
      <c r="J32" s="547"/>
      <c r="K32" s="547"/>
      <c r="L32" s="576">
        <f t="shared" ref="L32:P32" si="7">SUM(L29:L31)</f>
        <v>42344000</v>
      </c>
      <c r="M32" s="576">
        <f t="shared" si="7"/>
        <v>29640800</v>
      </c>
      <c r="N32" s="298">
        <f t="shared" si="7"/>
        <v>114213600</v>
      </c>
      <c r="O32" s="298">
        <f t="shared" si="7"/>
        <v>114213600</v>
      </c>
      <c r="P32" s="298">
        <f t="shared" si="7"/>
        <v>174213600</v>
      </c>
      <c r="Q32" s="298">
        <f>SUM(Q29:Q31)</f>
        <v>174213600</v>
      </c>
      <c r="R32" s="298">
        <f>SUM(R29:R31)</f>
        <v>190213600</v>
      </c>
      <c r="S32" s="256">
        <f>SUM(S29:S31)</f>
        <v>790213600</v>
      </c>
      <c r="T32" s="298">
        <f t="shared" si="0"/>
        <v>600000000</v>
      </c>
    </row>
    <row r="33" spans="1:20" ht="27.95" customHeight="1">
      <c r="A33" s="476">
        <v>270</v>
      </c>
      <c r="B33" s="298" t="s">
        <v>253</v>
      </c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273"/>
      <c r="O33" s="273"/>
      <c r="P33" s="273"/>
      <c r="Q33" s="273"/>
      <c r="R33" s="273"/>
      <c r="S33" s="247"/>
      <c r="T33" s="273">
        <f t="shared" si="0"/>
        <v>0</v>
      </c>
    </row>
    <row r="34" spans="1:20" ht="27.95" customHeight="1">
      <c r="A34" s="476">
        <v>2710</v>
      </c>
      <c r="B34" s="298" t="s">
        <v>252</v>
      </c>
      <c r="C34" s="547"/>
      <c r="D34" s="547"/>
      <c r="E34" s="547"/>
      <c r="F34" s="575">
        <f>SUM(F22:F33)</f>
        <v>16000000</v>
      </c>
      <c r="G34" s="575"/>
      <c r="H34" s="575"/>
      <c r="I34" s="575"/>
      <c r="J34" s="575"/>
      <c r="K34" s="575"/>
      <c r="L34" s="575"/>
      <c r="M34" s="575"/>
      <c r="N34" s="273"/>
      <c r="O34" s="273"/>
      <c r="P34" s="273"/>
      <c r="Q34" s="273"/>
      <c r="R34" s="273"/>
      <c r="S34" s="247"/>
      <c r="T34" s="273">
        <f t="shared" si="0"/>
        <v>0</v>
      </c>
    </row>
    <row r="35" spans="1:20" ht="27.95" customHeight="1">
      <c r="A35" s="587">
        <v>27601</v>
      </c>
      <c r="B35" s="588" t="s">
        <v>928</v>
      </c>
      <c r="C35" s="547"/>
      <c r="D35" s="547"/>
      <c r="E35" s="547"/>
      <c r="F35" s="575"/>
      <c r="G35" s="575"/>
      <c r="H35" s="575"/>
      <c r="I35" s="575"/>
      <c r="J35" s="575"/>
      <c r="K35" s="575"/>
      <c r="L35" s="575">
        <v>43330000</v>
      </c>
      <c r="M35" s="575">
        <v>0</v>
      </c>
      <c r="N35" s="273">
        <v>650000000</v>
      </c>
      <c r="O35" s="273"/>
      <c r="P35" s="273">
        <v>30000000</v>
      </c>
      <c r="Q35" s="273">
        <v>15000000</v>
      </c>
      <c r="R35" s="273">
        <v>15000000</v>
      </c>
      <c r="S35" s="247">
        <v>15000000</v>
      </c>
      <c r="T35" s="273">
        <f t="shared" si="0"/>
        <v>0</v>
      </c>
    </row>
    <row r="36" spans="1:20" ht="27.95" customHeight="1">
      <c r="A36" s="392">
        <v>27402</v>
      </c>
      <c r="B36" s="273" t="s">
        <v>581</v>
      </c>
      <c r="C36" s="547"/>
      <c r="D36" s="547"/>
      <c r="E36" s="547"/>
      <c r="F36" s="575"/>
      <c r="G36" s="575"/>
      <c r="H36" s="575"/>
      <c r="I36" s="575"/>
      <c r="J36" s="575"/>
      <c r="K36" s="575"/>
      <c r="L36" s="575"/>
      <c r="M36" s="575"/>
      <c r="N36" s="273">
        <v>0</v>
      </c>
      <c r="O36" s="273">
        <v>162000000</v>
      </c>
      <c r="P36" s="273">
        <v>162000000</v>
      </c>
      <c r="Q36" s="273">
        <v>120000000</v>
      </c>
      <c r="R36" s="273">
        <v>0</v>
      </c>
      <c r="S36" s="247">
        <v>0</v>
      </c>
      <c r="T36" s="273">
        <f t="shared" si="0"/>
        <v>0</v>
      </c>
    </row>
    <row r="37" spans="1:20" ht="27.95" customHeight="1">
      <c r="A37" s="392">
        <v>27502</v>
      </c>
      <c r="B37" s="273" t="s">
        <v>148</v>
      </c>
      <c r="C37" s="298">
        <f t="shared" ref="C37:J37" si="8">SUM(C31:C33)</f>
        <v>0</v>
      </c>
      <c r="D37" s="298">
        <f t="shared" si="8"/>
        <v>0</v>
      </c>
      <c r="E37" s="298">
        <f t="shared" si="8"/>
        <v>0</v>
      </c>
      <c r="F37" s="298">
        <f t="shared" si="8"/>
        <v>0</v>
      </c>
      <c r="G37" s="298">
        <f t="shared" si="8"/>
        <v>0</v>
      </c>
      <c r="H37" s="298">
        <f t="shared" si="8"/>
        <v>0</v>
      </c>
      <c r="I37" s="298">
        <f t="shared" si="8"/>
        <v>0</v>
      </c>
      <c r="J37" s="298">
        <f t="shared" si="8"/>
        <v>0</v>
      </c>
      <c r="K37" s="298">
        <f>SUM(K33)</f>
        <v>0</v>
      </c>
      <c r="L37" s="273">
        <v>3724000</v>
      </c>
      <c r="M37" s="273">
        <f>3724000*70%</f>
        <v>2606800</v>
      </c>
      <c r="N37" s="273">
        <v>0</v>
      </c>
      <c r="O37" s="273">
        <v>0</v>
      </c>
      <c r="P37" s="273">
        <v>0</v>
      </c>
      <c r="Q37" s="273">
        <v>0</v>
      </c>
      <c r="R37" s="273">
        <v>0</v>
      </c>
      <c r="S37" s="247">
        <v>0</v>
      </c>
      <c r="T37" s="273">
        <f t="shared" si="0"/>
        <v>0</v>
      </c>
    </row>
    <row r="38" spans="1:20" ht="27.95" customHeight="1">
      <c r="A38" s="392">
        <v>27604</v>
      </c>
      <c r="B38" s="273" t="s">
        <v>149</v>
      </c>
      <c r="C38" s="298" t="e">
        <f>C31+C25+#REF!+C14+#REF!</f>
        <v>#REF!</v>
      </c>
      <c r="D38" s="298" t="e">
        <f>D31+D25+#REF!+D14+#REF!</f>
        <v>#REF!</v>
      </c>
      <c r="E38" s="298" t="e">
        <f>E31+E25+#REF!+E14+#REF!</f>
        <v>#REF!</v>
      </c>
      <c r="F38" s="298" t="e">
        <f>F31+F25+#REF!+F14+#REF!</f>
        <v>#REF!</v>
      </c>
      <c r="G38" s="298" t="e">
        <f>G31+G25+#REF!+G14+#REF!</f>
        <v>#REF!</v>
      </c>
      <c r="H38" s="298" t="e">
        <f>H31+H25+#REF!+H14+#REF!</f>
        <v>#REF!</v>
      </c>
      <c r="I38" s="298" t="e">
        <f>I31+I25+#REF!+I14+#REF!</f>
        <v>#REF!</v>
      </c>
      <c r="J38" s="298" t="e">
        <f>J31+J25+#REF!+J14+#REF!</f>
        <v>#REF!</v>
      </c>
      <c r="K38" s="298" t="e">
        <f>K37+K31+#REF!+#REF!+K22+K10</f>
        <v>#REF!</v>
      </c>
      <c r="L38" s="273">
        <v>2234400</v>
      </c>
      <c r="M38" s="273">
        <f>2234400*70%</f>
        <v>1564080</v>
      </c>
      <c r="N38" s="273">
        <v>0</v>
      </c>
      <c r="O38" s="273">
        <v>0</v>
      </c>
      <c r="P38" s="273">
        <v>0</v>
      </c>
      <c r="Q38" s="273">
        <v>0</v>
      </c>
      <c r="R38" s="273">
        <v>0</v>
      </c>
      <c r="S38" s="247">
        <v>0</v>
      </c>
      <c r="T38" s="273">
        <f t="shared" si="0"/>
        <v>0</v>
      </c>
    </row>
    <row r="39" spans="1:20" ht="27.95" customHeight="1">
      <c r="A39" s="392">
        <v>27401</v>
      </c>
      <c r="B39" s="273" t="s">
        <v>1206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89">
        <v>45552000</v>
      </c>
      <c r="M39" s="589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500000000</v>
      </c>
      <c r="S39" s="247">
        <v>500000000</v>
      </c>
      <c r="T39" s="273">
        <f t="shared" si="0"/>
        <v>0</v>
      </c>
    </row>
    <row r="40" spans="1:20" ht="27.95" customHeight="1">
      <c r="A40" s="392"/>
      <c r="B40" s="298" t="s">
        <v>92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89"/>
      <c r="M40" s="589"/>
      <c r="N40" s="273"/>
      <c r="O40" s="273"/>
      <c r="P40" s="273"/>
      <c r="Q40" s="298">
        <f>SUM(Q35:Q39)</f>
        <v>135000000</v>
      </c>
      <c r="R40" s="298">
        <f>SUM(R35:R39)</f>
        <v>515000000</v>
      </c>
      <c r="S40" s="256">
        <f>SUM(S35:S39)</f>
        <v>515000000</v>
      </c>
      <c r="T40" s="298">
        <f t="shared" si="0"/>
        <v>0</v>
      </c>
    </row>
    <row r="41" spans="1:20" ht="27.95" customHeight="1">
      <c r="A41" s="476">
        <v>2720</v>
      </c>
      <c r="B41" s="298" t="s">
        <v>502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89"/>
      <c r="M41" s="589"/>
      <c r="N41" s="273"/>
      <c r="O41" s="273"/>
      <c r="P41" s="273"/>
      <c r="Q41" s="273"/>
      <c r="R41" s="273"/>
      <c r="S41" s="247"/>
      <c r="T41" s="273">
        <f t="shared" si="0"/>
        <v>0</v>
      </c>
    </row>
    <row r="42" spans="1:20" ht="27.95" customHeight="1">
      <c r="A42" s="392">
        <v>27209</v>
      </c>
      <c r="B42" s="273" t="s">
        <v>1169</v>
      </c>
      <c r="C42" s="547"/>
      <c r="D42" s="547"/>
      <c r="E42" s="547"/>
      <c r="F42" s="547"/>
      <c r="G42" s="547"/>
      <c r="H42" s="547"/>
      <c r="I42" s="547"/>
      <c r="J42" s="547"/>
      <c r="K42" s="547"/>
      <c r="L42" s="589"/>
      <c r="M42" s="589"/>
      <c r="N42" s="273"/>
      <c r="O42" s="273"/>
      <c r="P42" s="273"/>
      <c r="Q42" s="273">
        <v>0</v>
      </c>
      <c r="R42" s="273">
        <v>1000000000</v>
      </c>
      <c r="S42" s="247">
        <v>0</v>
      </c>
      <c r="T42" s="273">
        <f t="shared" si="0"/>
        <v>-1000000000</v>
      </c>
    </row>
    <row r="43" spans="1:20" ht="27.95" customHeight="1">
      <c r="A43" s="392"/>
      <c r="B43" s="298" t="s">
        <v>92</v>
      </c>
      <c r="C43" s="547"/>
      <c r="D43" s="547"/>
      <c r="E43" s="547"/>
      <c r="F43" s="547"/>
      <c r="G43" s="547"/>
      <c r="H43" s="547"/>
      <c r="I43" s="547"/>
      <c r="J43" s="547"/>
      <c r="K43" s="547"/>
      <c r="L43" s="590">
        <f>SUM(L37:L39)</f>
        <v>51510400</v>
      </c>
      <c r="M43" s="590">
        <f>SUM(M37:M39)</f>
        <v>4170880</v>
      </c>
      <c r="N43" s="298">
        <f>SUM(N36:N39)</f>
        <v>0</v>
      </c>
      <c r="O43" s="298">
        <f>SUM(O36:O39)</f>
        <v>162000000</v>
      </c>
      <c r="P43" s="298">
        <f>SUM(P35:P39)</f>
        <v>192000000</v>
      </c>
      <c r="Q43" s="298">
        <f>SUM(Q42)</f>
        <v>0</v>
      </c>
      <c r="R43" s="298">
        <f>SUM(R42)</f>
        <v>1000000000</v>
      </c>
      <c r="S43" s="256">
        <f>SUM(S42)</f>
        <v>0</v>
      </c>
      <c r="T43" s="298">
        <f t="shared" si="0"/>
        <v>-1000000000</v>
      </c>
    </row>
    <row r="44" spans="1:20" ht="27.95" customHeight="1">
      <c r="A44" s="558">
        <v>2630</v>
      </c>
      <c r="B44" s="298" t="s">
        <v>1404</v>
      </c>
      <c r="C44" s="547"/>
      <c r="D44" s="547"/>
      <c r="E44" s="547"/>
      <c r="F44" s="547"/>
      <c r="G44" s="547"/>
      <c r="H44" s="547"/>
      <c r="I44" s="547"/>
      <c r="J44" s="547"/>
      <c r="K44" s="547"/>
      <c r="L44" s="590"/>
      <c r="M44" s="590"/>
      <c r="N44" s="298"/>
      <c r="O44" s="298"/>
      <c r="P44" s="298"/>
      <c r="Q44" s="298"/>
      <c r="R44" s="298"/>
      <c r="S44" s="256"/>
      <c r="T44" s="298"/>
    </row>
    <row r="45" spans="1:20" ht="27.95" customHeight="1">
      <c r="A45" s="392">
        <v>26304</v>
      </c>
      <c r="B45" s="273" t="s">
        <v>1405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90"/>
      <c r="M45" s="590"/>
      <c r="N45" s="298"/>
      <c r="O45" s="298"/>
      <c r="P45" s="298"/>
      <c r="Q45" s="298"/>
      <c r="R45" s="298"/>
      <c r="S45" s="247">
        <v>700000000</v>
      </c>
      <c r="T45" s="298"/>
    </row>
    <row r="46" spans="1:20" ht="27.95" customHeight="1">
      <c r="A46" s="392"/>
      <c r="B46" s="298" t="s">
        <v>92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90"/>
      <c r="M46" s="590"/>
      <c r="N46" s="298"/>
      <c r="O46" s="298"/>
      <c r="P46" s="298"/>
      <c r="Q46" s="298"/>
      <c r="R46" s="298"/>
      <c r="S46" s="256">
        <f>SUM(S45)</f>
        <v>700000000</v>
      </c>
      <c r="T46" s="298"/>
    </row>
    <row r="47" spans="1:20" ht="27.95" customHeight="1">
      <c r="A47" s="476">
        <v>2810</v>
      </c>
      <c r="B47" s="298" t="s">
        <v>1242</v>
      </c>
      <c r="C47" s="547"/>
      <c r="D47" s="547"/>
      <c r="E47" s="547"/>
      <c r="F47" s="547"/>
      <c r="G47" s="547"/>
      <c r="H47" s="547"/>
      <c r="I47" s="547"/>
      <c r="J47" s="547"/>
      <c r="K47" s="547"/>
      <c r="L47" s="590"/>
      <c r="M47" s="590"/>
      <c r="N47" s="298"/>
      <c r="O47" s="298"/>
      <c r="P47" s="298"/>
      <c r="Q47" s="298"/>
      <c r="R47" s="298"/>
      <c r="S47" s="256"/>
      <c r="T47" s="273">
        <f t="shared" si="0"/>
        <v>0</v>
      </c>
    </row>
    <row r="48" spans="1:20" ht="27.95" customHeight="1">
      <c r="A48" s="392">
        <v>28102</v>
      </c>
      <c r="B48" s="273" t="s">
        <v>1168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90"/>
      <c r="M48" s="590"/>
      <c r="N48" s="298"/>
      <c r="O48" s="298"/>
      <c r="P48" s="298"/>
      <c r="Q48" s="298">
        <v>0</v>
      </c>
      <c r="R48" s="273">
        <v>69000000</v>
      </c>
      <c r="S48" s="247">
        <v>98000000</v>
      </c>
      <c r="T48" s="273">
        <f t="shared" si="0"/>
        <v>29000000</v>
      </c>
    </row>
    <row r="49" spans="1:20" ht="27.95" customHeight="1">
      <c r="A49" s="392"/>
      <c r="B49" s="298" t="s">
        <v>92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90"/>
      <c r="M49" s="590"/>
      <c r="N49" s="298"/>
      <c r="O49" s="298"/>
      <c r="P49" s="298"/>
      <c r="Q49" s="298">
        <f>SUM(Q48)</f>
        <v>0</v>
      </c>
      <c r="R49" s="298">
        <f>SUM(R48)</f>
        <v>69000000</v>
      </c>
      <c r="S49" s="256">
        <f>SUM(S48)</f>
        <v>98000000</v>
      </c>
      <c r="T49" s="298">
        <f t="shared" si="0"/>
        <v>29000000</v>
      </c>
    </row>
    <row r="50" spans="1:20" ht="27.95" customHeight="1">
      <c r="A50" s="392"/>
      <c r="B50" s="298" t="s">
        <v>37</v>
      </c>
      <c r="C50" s="547"/>
      <c r="D50" s="547"/>
      <c r="E50" s="547"/>
      <c r="F50" s="547"/>
      <c r="G50" s="547"/>
      <c r="H50" s="547"/>
      <c r="I50" s="547"/>
      <c r="J50" s="547"/>
      <c r="K50" s="547"/>
      <c r="L50" s="576" t="e">
        <f>#REF!+L43+L32+L27+L22+L9</f>
        <v>#REF!</v>
      </c>
      <c r="M50" s="576" t="e">
        <f>#REF!+M43+M32+M27+M22+M9</f>
        <v>#REF!</v>
      </c>
      <c r="N50" s="298" t="e">
        <f>#REF!+N43+N32+N27+N22+N9</f>
        <v>#REF!</v>
      </c>
      <c r="O50" s="298" t="e">
        <f>#REF!+O43+O32+O27+O22+O9</f>
        <v>#REF!</v>
      </c>
      <c r="P50" s="298">
        <f>P43+P32+P27+P22+P9</f>
        <v>2580349062</v>
      </c>
      <c r="Q50" s="298">
        <f>Q43+Q32+Q27+Q22+Q9+Q40+Q49</f>
        <v>2817024262</v>
      </c>
      <c r="R50" s="298">
        <f>R43+R32+R27+R22+R9+R40+R49</f>
        <v>4867114102</v>
      </c>
      <c r="S50" s="256">
        <f>S9+S22+S27+S32+S40+S46+S49</f>
        <v>6074037046</v>
      </c>
      <c r="T50" s="298">
        <f t="shared" si="0"/>
        <v>1206922944</v>
      </c>
    </row>
  </sheetData>
  <pageMargins left="0.64" right="0.28000000000000003" top="0.67" bottom="0.5" header="0.17" footer="0.17"/>
  <pageSetup scale="50" orientation="portrait" r:id="rId1"/>
  <headerFooter>
    <oddHeader>&amp;C&amp;"Algerian,Bold"&amp;28WASAARADdA KALUUMAYSIGA IYO KHAYRAADKA BADDA</oddHeader>
    <oddFooter>&amp;R&amp;"Times New Roman,Bold"&amp;18 35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T54"/>
  <sheetViews>
    <sheetView view="pageBreakPreview" topLeftCell="A28" zoomScale="60" workbookViewId="0">
      <selection activeCell="S51" sqref="S51"/>
    </sheetView>
  </sheetViews>
  <sheetFormatPr defaultRowHeight="23.1" customHeight="1"/>
  <cols>
    <col min="1" max="1" width="18.1640625" style="584" bestFit="1" customWidth="1"/>
    <col min="2" max="2" width="78.83203125" style="528" customWidth="1"/>
    <col min="3" max="3" width="15.5" style="528" hidden="1" customWidth="1"/>
    <col min="4" max="4" width="14" style="528" hidden="1" customWidth="1"/>
    <col min="5" max="5" width="18" style="528" hidden="1" customWidth="1"/>
    <col min="6" max="6" width="16" style="528" hidden="1" customWidth="1"/>
    <col min="7" max="7" width="17.83203125" style="528" hidden="1" customWidth="1"/>
    <col min="8" max="8" width="2" style="528" hidden="1" customWidth="1"/>
    <col min="9" max="9" width="21.5" style="528" hidden="1" customWidth="1"/>
    <col min="10" max="10" width="18.33203125" style="528" hidden="1" customWidth="1"/>
    <col min="11" max="11" width="16.5" style="528" hidden="1" customWidth="1"/>
    <col min="12" max="12" width="21" style="528" hidden="1" customWidth="1"/>
    <col min="13" max="13" width="20.5" style="528" hidden="1" customWidth="1"/>
    <col min="14" max="15" width="27.5" style="528" hidden="1" customWidth="1"/>
    <col min="16" max="17" width="27.6640625" style="498" hidden="1" customWidth="1"/>
    <col min="18" max="20" width="27.6640625" style="498" customWidth="1"/>
    <col min="21" max="16384" width="9.33203125" style="528"/>
  </cols>
  <sheetData>
    <row r="1" spans="1:20" ht="24" customHeight="1">
      <c r="A1" s="544" t="s">
        <v>40</v>
      </c>
      <c r="B1" s="545" t="s">
        <v>1009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280"/>
      <c r="Q1" s="280"/>
      <c r="R1" s="280"/>
      <c r="S1" s="280"/>
      <c r="T1" s="280"/>
    </row>
    <row r="2" spans="1:20" s="595" customFormat="1" ht="24" customHeight="1">
      <c r="A2" s="392">
        <v>210</v>
      </c>
      <c r="B2" s="280" t="s">
        <v>137</v>
      </c>
      <c r="C2" s="593" t="s">
        <v>38</v>
      </c>
      <c r="D2" s="594" t="s">
        <v>2</v>
      </c>
      <c r="E2" s="594" t="s">
        <v>43</v>
      </c>
      <c r="F2" s="594" t="s">
        <v>46</v>
      </c>
      <c r="G2" s="594" t="s">
        <v>55</v>
      </c>
      <c r="H2" s="594" t="s">
        <v>62</v>
      </c>
      <c r="I2" s="594" t="s">
        <v>101</v>
      </c>
      <c r="J2" s="594" t="s">
        <v>107</v>
      </c>
      <c r="K2" s="594" t="s">
        <v>117</v>
      </c>
      <c r="L2" s="482" t="s">
        <v>151</v>
      </c>
      <c r="M2" s="482" t="s">
        <v>259</v>
      </c>
      <c r="N2" s="482" t="s">
        <v>440</v>
      </c>
      <c r="O2" s="482" t="s">
        <v>814</v>
      </c>
      <c r="P2" s="482" t="s">
        <v>874</v>
      </c>
      <c r="Q2" s="482" t="s">
        <v>973</v>
      </c>
      <c r="R2" s="482" t="s">
        <v>1160</v>
      </c>
      <c r="S2" s="482" t="s">
        <v>1320</v>
      </c>
      <c r="T2" s="286" t="s">
        <v>56</v>
      </c>
    </row>
    <row r="3" spans="1:20" ht="24" customHeight="1">
      <c r="A3" s="392">
        <v>2110</v>
      </c>
      <c r="B3" s="246" t="s">
        <v>213</v>
      </c>
      <c r="C3" s="292"/>
      <c r="D3" s="292"/>
      <c r="E3" s="292"/>
      <c r="F3" s="292"/>
      <c r="G3" s="292"/>
      <c r="H3" s="292"/>
      <c r="I3" s="292"/>
      <c r="J3" s="292"/>
      <c r="K3" s="246">
        <f>572163600+12000000+4149600</f>
        <v>588313200</v>
      </c>
      <c r="L3" s="292"/>
      <c r="M3" s="246"/>
      <c r="N3" s="246"/>
      <c r="O3" s="246"/>
      <c r="P3" s="246"/>
      <c r="Q3" s="246"/>
      <c r="R3" s="246"/>
      <c r="S3" s="246"/>
      <c r="T3" s="246"/>
    </row>
    <row r="4" spans="1:20" ht="24" customHeight="1">
      <c r="A4" s="392">
        <v>21101</v>
      </c>
      <c r="B4" s="246" t="s">
        <v>28</v>
      </c>
      <c r="C4" s="246">
        <v>148515000</v>
      </c>
      <c r="D4" s="246">
        <v>297002000</v>
      </c>
      <c r="E4" s="246">
        <v>267852000</v>
      </c>
      <c r="F4" s="246">
        <v>272157000</v>
      </c>
      <c r="G4" s="246">
        <v>286368000</v>
      </c>
      <c r="H4" s="246">
        <f>286368000+65424000</f>
        <v>351792000</v>
      </c>
      <c r="I4" s="246">
        <v>457329600</v>
      </c>
      <c r="J4" s="246">
        <f>512163600+54000000+6000000</f>
        <v>572163600</v>
      </c>
      <c r="K4" s="246">
        <v>0</v>
      </c>
      <c r="L4" s="246">
        <v>588687600</v>
      </c>
      <c r="M4" s="246">
        <f>shaqaalaha2011!H33+36000000+221932800</f>
        <v>1218861600</v>
      </c>
      <c r="N4" s="246">
        <v>1152060000</v>
      </c>
      <c r="O4" s="246">
        <v>1411550400</v>
      </c>
      <c r="P4" s="246">
        <v>2041603200</v>
      </c>
      <c r="Q4" s="246">
        <v>2241158400</v>
      </c>
      <c r="R4" s="246">
        <v>2552771520</v>
      </c>
      <c r="S4" s="840">
        <v>3307940064</v>
      </c>
      <c r="T4" s="246">
        <f>S4-R4</f>
        <v>755168544</v>
      </c>
    </row>
    <row r="5" spans="1:20" ht="24" customHeight="1">
      <c r="A5" s="392">
        <v>21102</v>
      </c>
      <c r="B5" s="246" t="s">
        <v>554</v>
      </c>
      <c r="C5" s="246">
        <v>11833000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f>48240000+1440000+7920000</f>
        <v>57600000</v>
      </c>
      <c r="L5" s="246">
        <v>0</v>
      </c>
      <c r="M5" s="246">
        <v>0</v>
      </c>
      <c r="N5" s="246">
        <v>97200000</v>
      </c>
      <c r="O5" s="246">
        <v>97200000</v>
      </c>
      <c r="P5" s="246">
        <v>194400000</v>
      </c>
      <c r="Q5" s="246">
        <v>194400000</v>
      </c>
      <c r="R5" s="246">
        <v>194400000</v>
      </c>
      <c r="S5" s="840">
        <v>291600000</v>
      </c>
      <c r="T5" s="246">
        <f t="shared" ref="T5:T51" si="0">S5-R5</f>
        <v>97200000</v>
      </c>
    </row>
    <row r="6" spans="1:20" ht="24" customHeight="1">
      <c r="A6" s="392">
        <v>21103</v>
      </c>
      <c r="B6" s="246" t="s">
        <v>30</v>
      </c>
      <c r="C6" s="246">
        <v>10800000</v>
      </c>
      <c r="D6" s="246">
        <v>10800000</v>
      </c>
      <c r="E6" s="246">
        <v>10800000</v>
      </c>
      <c r="F6" s="246">
        <v>10800000</v>
      </c>
      <c r="G6" s="246">
        <v>14400000</v>
      </c>
      <c r="H6" s="246">
        <v>14400000</v>
      </c>
      <c r="I6" s="246">
        <v>14400000</v>
      </c>
      <c r="J6" s="246">
        <f>14400000+32400000+1440000</f>
        <v>48240000</v>
      </c>
      <c r="K6" s="246">
        <v>0</v>
      </c>
      <c r="L6" s="246">
        <v>61200000</v>
      </c>
      <c r="M6" s="246">
        <v>61200000</v>
      </c>
      <c r="N6" s="246">
        <v>97200000</v>
      </c>
      <c r="O6" s="246">
        <v>151200000</v>
      </c>
      <c r="P6" s="246">
        <v>306000000</v>
      </c>
      <c r="Q6" s="246">
        <v>324000000</v>
      </c>
      <c r="R6" s="246">
        <v>396000000</v>
      </c>
      <c r="S6" s="840">
        <v>468000000</v>
      </c>
      <c r="T6" s="246">
        <f t="shared" si="0"/>
        <v>72000000</v>
      </c>
    </row>
    <row r="7" spans="1:20" ht="24" customHeight="1">
      <c r="A7" s="392">
        <v>21105</v>
      </c>
      <c r="B7" s="246" t="s">
        <v>475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>
        <v>48000000</v>
      </c>
      <c r="N7" s="246">
        <f>M7</f>
        <v>48000000</v>
      </c>
      <c r="O7" s="246">
        <f>N7</f>
        <v>48000000</v>
      </c>
      <c r="P7" s="246">
        <v>72000000</v>
      </c>
      <c r="Q7" s="246">
        <v>72000000</v>
      </c>
      <c r="R7" s="246">
        <v>72000000</v>
      </c>
      <c r="S7" s="840">
        <v>72000000</v>
      </c>
      <c r="T7" s="246">
        <f t="shared" si="0"/>
        <v>0</v>
      </c>
    </row>
    <row r="8" spans="1:20" ht="24" customHeight="1">
      <c r="A8" s="392"/>
      <c r="B8" s="280" t="s">
        <v>92</v>
      </c>
      <c r="C8" s="246"/>
      <c r="D8" s="246">
        <v>0</v>
      </c>
      <c r="E8" s="246">
        <v>6000000</v>
      </c>
      <c r="F8" s="246">
        <v>3000000</v>
      </c>
      <c r="G8" s="246">
        <v>0</v>
      </c>
      <c r="H8" s="246">
        <v>0</v>
      </c>
      <c r="I8" s="246">
        <v>0</v>
      </c>
      <c r="J8" s="246">
        <v>15000000</v>
      </c>
      <c r="K8" s="246">
        <v>0</v>
      </c>
      <c r="L8" s="246">
        <f>SUM(L4:L6)</f>
        <v>649887600</v>
      </c>
      <c r="M8" s="246">
        <f>M7+M6+M4+M5</f>
        <v>1328061600</v>
      </c>
      <c r="N8" s="280">
        <f>N7+N6+N4+N5</f>
        <v>1394460000</v>
      </c>
      <c r="O8" s="280">
        <f>SUM(O4:O7)</f>
        <v>1707950400</v>
      </c>
      <c r="P8" s="280">
        <f>SUM(P4:P7)</f>
        <v>2614003200</v>
      </c>
      <c r="Q8" s="280">
        <f>SUM(Q4:Q7)</f>
        <v>2831558400</v>
      </c>
      <c r="R8" s="280">
        <f>SUM(R4:R7)</f>
        <v>3215171520</v>
      </c>
      <c r="S8" s="851">
        <f>SUM(S4:S7)</f>
        <v>4139540064</v>
      </c>
      <c r="T8" s="280">
        <f t="shared" si="0"/>
        <v>924368544</v>
      </c>
    </row>
    <row r="9" spans="1:20" ht="24" customHeight="1">
      <c r="A9" s="476">
        <v>220</v>
      </c>
      <c r="B9" s="280" t="s">
        <v>225</v>
      </c>
      <c r="C9" s="246"/>
      <c r="D9" s="246">
        <v>0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/>
      <c r="M9" s="246"/>
      <c r="N9" s="246"/>
      <c r="O9" s="246"/>
      <c r="P9" s="246"/>
      <c r="Q9" s="246"/>
      <c r="R9" s="246"/>
      <c r="S9" s="840"/>
      <c r="T9" s="246">
        <f t="shared" si="0"/>
        <v>0</v>
      </c>
    </row>
    <row r="10" spans="1:20" ht="24" customHeight="1">
      <c r="A10" s="476">
        <v>2210</v>
      </c>
      <c r="B10" s="280" t="s">
        <v>226</v>
      </c>
      <c r="C10" s="246"/>
      <c r="D10" s="246">
        <v>20000000</v>
      </c>
      <c r="E10" s="246">
        <v>56000000</v>
      </c>
      <c r="F10" s="246">
        <v>0</v>
      </c>
      <c r="G10" s="246">
        <v>0</v>
      </c>
      <c r="H10" s="246">
        <v>149500000</v>
      </c>
      <c r="I10" s="246">
        <v>0</v>
      </c>
      <c r="J10" s="246">
        <v>0</v>
      </c>
      <c r="K10" s="246">
        <v>14896000</v>
      </c>
      <c r="L10" s="246"/>
      <c r="M10" s="246"/>
      <c r="N10" s="246"/>
      <c r="O10" s="246"/>
      <c r="P10" s="246"/>
      <c r="Q10" s="246"/>
      <c r="R10" s="246"/>
      <c r="S10" s="840"/>
      <c r="T10" s="246">
        <f t="shared" si="0"/>
        <v>0</v>
      </c>
    </row>
    <row r="11" spans="1:20" ht="24" customHeight="1">
      <c r="A11" s="392">
        <v>22101</v>
      </c>
      <c r="B11" s="246" t="s">
        <v>33</v>
      </c>
      <c r="C11" s="246">
        <v>0</v>
      </c>
      <c r="D11" s="246">
        <v>2000000</v>
      </c>
      <c r="E11" s="246">
        <v>2000000</v>
      </c>
      <c r="F11" s="246">
        <v>1000000</v>
      </c>
      <c r="G11" s="246">
        <v>3200000</v>
      </c>
      <c r="H11" s="246">
        <v>4000000</v>
      </c>
      <c r="I11" s="246">
        <v>2979200</v>
      </c>
      <c r="J11" s="246">
        <v>4000000</v>
      </c>
      <c r="K11" s="246">
        <v>8937600</v>
      </c>
      <c r="L11" s="246">
        <v>44688000</v>
      </c>
      <c r="M11" s="246">
        <f>44688000*70%</f>
        <v>31281599.999999996</v>
      </c>
      <c r="N11" s="246">
        <f>44688000*70%</f>
        <v>31281599.999999996</v>
      </c>
      <c r="O11" s="246">
        <v>66281600</v>
      </c>
      <c r="P11" s="246">
        <v>86281600</v>
      </c>
      <c r="Q11" s="246">
        <v>86281600</v>
      </c>
      <c r="R11" s="246">
        <v>186281600</v>
      </c>
      <c r="S11" s="840">
        <v>186281600</v>
      </c>
      <c r="T11" s="246">
        <f t="shared" si="0"/>
        <v>0</v>
      </c>
    </row>
    <row r="12" spans="1:20" ht="24" customHeight="1">
      <c r="A12" s="392">
        <v>22102</v>
      </c>
      <c r="B12" s="246" t="s">
        <v>124</v>
      </c>
      <c r="C12" s="246"/>
      <c r="D12" s="246"/>
      <c r="E12" s="246"/>
      <c r="F12" s="246"/>
      <c r="G12" s="246"/>
      <c r="H12" s="246"/>
      <c r="I12" s="246"/>
      <c r="J12" s="246"/>
      <c r="K12" s="246">
        <v>18620000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840">
        <v>0</v>
      </c>
      <c r="T12" s="246">
        <f t="shared" si="0"/>
        <v>0</v>
      </c>
    </row>
    <row r="13" spans="1:20" ht="24" customHeight="1">
      <c r="A13" s="392">
        <v>22103</v>
      </c>
      <c r="B13" s="246" t="s">
        <v>125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840">
        <v>0</v>
      </c>
      <c r="T13" s="246">
        <f t="shared" si="0"/>
        <v>0</v>
      </c>
    </row>
    <row r="14" spans="1:20" ht="24" customHeight="1">
      <c r="A14" s="392">
        <v>22104</v>
      </c>
      <c r="B14" s="246" t="s">
        <v>157</v>
      </c>
      <c r="C14" s="246"/>
      <c r="D14" s="246"/>
      <c r="E14" s="246"/>
      <c r="F14" s="246"/>
      <c r="G14" s="246"/>
      <c r="H14" s="246"/>
      <c r="I14" s="246"/>
      <c r="J14" s="246"/>
      <c r="K14" s="246">
        <v>208212162</v>
      </c>
      <c r="L14" s="246">
        <v>58040934</v>
      </c>
      <c r="M14" s="246">
        <v>40628653</v>
      </c>
      <c r="N14" s="246">
        <v>40628653</v>
      </c>
      <c r="O14" s="246">
        <v>40628653</v>
      </c>
      <c r="P14" s="246">
        <v>68628653</v>
      </c>
      <c r="Q14" s="246">
        <v>68628653</v>
      </c>
      <c r="R14" s="246">
        <v>68628653</v>
      </c>
      <c r="S14" s="840">
        <v>88628653</v>
      </c>
      <c r="T14" s="246">
        <f t="shared" si="0"/>
        <v>20000000</v>
      </c>
    </row>
    <row r="15" spans="1:20" ht="24" customHeight="1">
      <c r="A15" s="392">
        <v>22105</v>
      </c>
      <c r="B15" s="246" t="s">
        <v>135</v>
      </c>
      <c r="C15" s="246"/>
      <c r="D15" s="246"/>
      <c r="E15" s="246"/>
      <c r="F15" s="246"/>
      <c r="G15" s="246"/>
      <c r="H15" s="246"/>
      <c r="I15" s="246"/>
      <c r="J15" s="246"/>
      <c r="K15" s="246">
        <v>7448000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840">
        <v>0</v>
      </c>
      <c r="T15" s="246">
        <f t="shared" si="0"/>
        <v>0</v>
      </c>
    </row>
    <row r="16" spans="1:20" ht="24" customHeight="1">
      <c r="A16" s="392">
        <v>22106</v>
      </c>
      <c r="B16" s="246" t="s">
        <v>126</v>
      </c>
      <c r="C16" s="246">
        <v>6000000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f>SUM(K8:K15)</f>
        <v>258113762</v>
      </c>
      <c r="L16" s="246">
        <v>15000000</v>
      </c>
      <c r="M16" s="246">
        <f>15000000*70%</f>
        <v>10500000</v>
      </c>
      <c r="N16" s="246">
        <v>0</v>
      </c>
      <c r="O16" s="246">
        <v>0</v>
      </c>
      <c r="P16" s="246">
        <v>6000000</v>
      </c>
      <c r="Q16" s="246">
        <v>6000000</v>
      </c>
      <c r="R16" s="246">
        <v>6000000</v>
      </c>
      <c r="S16" s="840">
        <v>100000000</v>
      </c>
      <c r="T16" s="246">
        <f t="shared" si="0"/>
        <v>94000000</v>
      </c>
    </row>
    <row r="17" spans="1:20" ht="24" customHeight="1">
      <c r="A17" s="392">
        <v>22107</v>
      </c>
      <c r="B17" s="246" t="s">
        <v>48</v>
      </c>
      <c r="C17" s="246">
        <v>0</v>
      </c>
      <c r="D17" s="246">
        <v>6000000</v>
      </c>
      <c r="E17" s="246">
        <v>8000000</v>
      </c>
      <c r="F17" s="246">
        <v>16000000</v>
      </c>
      <c r="G17" s="246">
        <v>20217600</v>
      </c>
      <c r="H17" s="246">
        <v>25272000</v>
      </c>
      <c r="I17" s="246">
        <v>37442586</v>
      </c>
      <c r="J17" s="246">
        <v>55000000</v>
      </c>
      <c r="K17" s="246"/>
      <c r="L17" s="246">
        <v>34896000</v>
      </c>
      <c r="M17" s="246">
        <f>L17*70%</f>
        <v>24427200</v>
      </c>
      <c r="N17" s="246">
        <f>M17*70%</f>
        <v>17099040</v>
      </c>
      <c r="O17" s="246">
        <v>27099040</v>
      </c>
      <c r="P17" s="246">
        <v>47099040</v>
      </c>
      <c r="Q17" s="246">
        <v>47099040</v>
      </c>
      <c r="R17" s="246">
        <v>47099040</v>
      </c>
      <c r="S17" s="840">
        <v>47099040</v>
      </c>
      <c r="T17" s="246">
        <f t="shared" si="0"/>
        <v>0</v>
      </c>
    </row>
    <row r="18" spans="1:20" ht="24" customHeight="1">
      <c r="A18" s="392">
        <v>22108</v>
      </c>
      <c r="B18" s="246" t="s">
        <v>93</v>
      </c>
      <c r="C18" s="246">
        <v>12000000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840">
        <v>0</v>
      </c>
      <c r="T18" s="246">
        <f t="shared" si="0"/>
        <v>0</v>
      </c>
    </row>
    <row r="19" spans="1:20" ht="24" customHeight="1">
      <c r="A19" s="392">
        <v>22109</v>
      </c>
      <c r="B19" s="246" t="s">
        <v>136</v>
      </c>
      <c r="C19" s="246">
        <v>7000000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15000000</v>
      </c>
      <c r="K19" s="246">
        <v>201406000</v>
      </c>
      <c r="L19" s="246">
        <v>8937600</v>
      </c>
      <c r="M19" s="246">
        <f t="shared" ref="M19:R19" si="1">8937600*70%</f>
        <v>6256320</v>
      </c>
      <c r="N19" s="246">
        <f t="shared" si="1"/>
        <v>6256320</v>
      </c>
      <c r="O19" s="246">
        <f t="shared" si="1"/>
        <v>6256320</v>
      </c>
      <c r="P19" s="246">
        <f t="shared" si="1"/>
        <v>6256320</v>
      </c>
      <c r="Q19" s="246">
        <f t="shared" si="1"/>
        <v>6256320</v>
      </c>
      <c r="R19" s="246">
        <f t="shared" si="1"/>
        <v>6256320</v>
      </c>
      <c r="S19" s="840">
        <v>16000000</v>
      </c>
      <c r="T19" s="246">
        <f t="shared" si="0"/>
        <v>9743680</v>
      </c>
    </row>
    <row r="20" spans="1:20" ht="24" customHeight="1">
      <c r="A20" s="392">
        <v>22112</v>
      </c>
      <c r="B20" s="246" t="s">
        <v>35</v>
      </c>
      <c r="C20" s="246">
        <v>0</v>
      </c>
      <c r="D20" s="246">
        <v>0</v>
      </c>
      <c r="E20" s="246">
        <v>0</v>
      </c>
      <c r="F20" s="246">
        <v>0</v>
      </c>
      <c r="G20" s="246">
        <v>4000000</v>
      </c>
      <c r="H20" s="246">
        <v>5000000</v>
      </c>
      <c r="I20" s="246">
        <v>14896000</v>
      </c>
      <c r="J20" s="246">
        <v>45000000</v>
      </c>
      <c r="K20" s="246">
        <v>26812800</v>
      </c>
      <c r="L20" s="246">
        <v>48620000</v>
      </c>
      <c r="M20" s="246">
        <v>34034000</v>
      </c>
      <c r="N20" s="246">
        <v>40034000</v>
      </c>
      <c r="O20" s="246">
        <v>80034000</v>
      </c>
      <c r="P20" s="246">
        <v>90034000</v>
      </c>
      <c r="Q20" s="246">
        <v>90034000</v>
      </c>
      <c r="R20" s="246">
        <v>90034000</v>
      </c>
      <c r="S20" s="840">
        <v>90034000</v>
      </c>
      <c r="T20" s="246">
        <f t="shared" si="0"/>
        <v>0</v>
      </c>
    </row>
    <row r="21" spans="1:20" ht="24" customHeight="1">
      <c r="A21" s="392">
        <v>22134</v>
      </c>
      <c r="B21" s="246" t="s">
        <v>142</v>
      </c>
      <c r="C21" s="246">
        <v>5000000</v>
      </c>
      <c r="D21" s="246">
        <v>5000000</v>
      </c>
      <c r="E21" s="246">
        <v>5000000</v>
      </c>
      <c r="F21" s="246">
        <v>5000000</v>
      </c>
      <c r="G21" s="246">
        <v>8000000</v>
      </c>
      <c r="H21" s="246">
        <v>10000000</v>
      </c>
      <c r="I21" s="246">
        <v>18620000</v>
      </c>
      <c r="J21" s="246">
        <v>48000000</v>
      </c>
      <c r="K21" s="246">
        <f ca="1">SUM(K18:K24)</f>
        <v>235666800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46">
        <f t="shared" si="0"/>
        <v>0</v>
      </c>
    </row>
    <row r="22" spans="1:20" ht="24" customHeight="1">
      <c r="A22" s="392">
        <v>22136</v>
      </c>
      <c r="B22" s="246" t="s">
        <v>1170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>
        <v>30000000</v>
      </c>
      <c r="S22" s="840">
        <v>30000000</v>
      </c>
      <c r="T22" s="246">
        <f t="shared" si="0"/>
        <v>0</v>
      </c>
    </row>
    <row r="23" spans="1:20" ht="24" customHeight="1">
      <c r="A23" s="392">
        <v>22137</v>
      </c>
      <c r="B23" s="246" t="s">
        <v>272</v>
      </c>
      <c r="C23" s="246">
        <v>0</v>
      </c>
      <c r="D23" s="246">
        <v>0</v>
      </c>
      <c r="E23" s="246">
        <v>0</v>
      </c>
      <c r="F23" s="246">
        <v>0</v>
      </c>
      <c r="G23" s="246">
        <v>16000000</v>
      </c>
      <c r="H23" s="246">
        <v>360113000</v>
      </c>
      <c r="I23" s="246">
        <v>208212162</v>
      </c>
      <c r="J23" s="246">
        <v>330000000</v>
      </c>
      <c r="K23" s="246"/>
      <c r="L23" s="246">
        <v>0</v>
      </c>
      <c r="M23" s="246">
        <v>74131200</v>
      </c>
      <c r="N23" s="246">
        <v>74131200</v>
      </c>
      <c r="O23" s="246">
        <v>100000000</v>
      </c>
      <c r="P23" s="246">
        <v>100000000</v>
      </c>
      <c r="Q23" s="246">
        <v>230000000</v>
      </c>
      <c r="R23" s="246">
        <v>230000000</v>
      </c>
      <c r="S23" s="840">
        <v>330000000</v>
      </c>
      <c r="T23" s="246">
        <f t="shared" si="0"/>
        <v>100000000</v>
      </c>
    </row>
    <row r="24" spans="1:20" ht="24" customHeight="1">
      <c r="A24" s="392">
        <v>22151</v>
      </c>
      <c r="B24" s="246" t="s">
        <v>825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7448000</v>
      </c>
      <c r="L24" s="246">
        <v>208212162</v>
      </c>
      <c r="M24" s="246">
        <f>1000000000*70%</f>
        <v>700000000</v>
      </c>
      <c r="N24" s="246">
        <v>0</v>
      </c>
      <c r="O24" s="246">
        <v>50000000</v>
      </c>
      <c r="P24" s="246">
        <v>148000000</v>
      </c>
      <c r="Q24" s="246">
        <v>148000000</v>
      </c>
      <c r="R24" s="246">
        <v>228000000</v>
      </c>
      <c r="S24" s="840">
        <v>478000000</v>
      </c>
      <c r="T24" s="246">
        <f t="shared" si="0"/>
        <v>250000000</v>
      </c>
    </row>
    <row r="25" spans="1:20" ht="24" customHeight="1">
      <c r="A25" s="392">
        <v>22151</v>
      </c>
      <c r="B25" s="246" t="s">
        <v>1059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>
        <v>117000000</v>
      </c>
      <c r="R25" s="246">
        <v>117000000</v>
      </c>
      <c r="S25" s="840">
        <v>117000000</v>
      </c>
      <c r="T25" s="246">
        <f t="shared" si="0"/>
        <v>0</v>
      </c>
    </row>
    <row r="26" spans="1:20" ht="24" customHeight="1">
      <c r="A26" s="392">
        <v>22165</v>
      </c>
      <c r="B26" s="246" t="s">
        <v>1171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>
        <v>100000000</v>
      </c>
      <c r="S26" s="840">
        <v>250000000</v>
      </c>
      <c r="T26" s="246">
        <f t="shared" si="0"/>
        <v>150000000</v>
      </c>
    </row>
    <row r="27" spans="1:20" ht="24" customHeight="1">
      <c r="A27" s="392"/>
      <c r="B27" s="280" t="s">
        <v>92</v>
      </c>
      <c r="C27" s="246"/>
      <c r="D27" s="246"/>
      <c r="E27" s="246"/>
      <c r="F27" s="246"/>
      <c r="G27" s="246"/>
      <c r="H27" s="246"/>
      <c r="I27" s="246">
        <v>0</v>
      </c>
      <c r="J27" s="246">
        <v>35000000</v>
      </c>
      <c r="K27" s="246"/>
      <c r="L27" s="246">
        <f>SUM(L11:L23)</f>
        <v>210182534</v>
      </c>
      <c r="M27" s="246">
        <f>SUM(M11:M23)</f>
        <v>221258973</v>
      </c>
      <c r="N27" s="280">
        <f>SUM(N11:N24)</f>
        <v>209430813</v>
      </c>
      <c r="O27" s="280">
        <f>SUM(O11:O24)</f>
        <v>370299613</v>
      </c>
      <c r="P27" s="280">
        <f>SUM(P11:P24)</f>
        <v>552299613</v>
      </c>
      <c r="Q27" s="280">
        <f>SUM(Q11:Q26)</f>
        <v>799299613</v>
      </c>
      <c r="R27" s="280">
        <f>SUM(R11:R26)</f>
        <v>1109299613</v>
      </c>
      <c r="S27" s="851">
        <f>SUM(S11:S26)</f>
        <v>1733043293</v>
      </c>
      <c r="T27" s="280">
        <f t="shared" si="0"/>
        <v>623743680</v>
      </c>
    </row>
    <row r="28" spans="1:20" ht="24" customHeight="1">
      <c r="A28" s="476">
        <v>2220</v>
      </c>
      <c r="B28" s="280" t="s">
        <v>240</v>
      </c>
      <c r="C28" s="246"/>
      <c r="D28" s="246">
        <v>2577555</v>
      </c>
      <c r="E28" s="246">
        <v>11431000</v>
      </c>
      <c r="F28" s="246">
        <v>11446285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/>
      <c r="M28" s="246"/>
      <c r="N28" s="246"/>
      <c r="O28" s="246"/>
      <c r="P28" s="246"/>
      <c r="Q28" s="246"/>
      <c r="R28" s="246"/>
      <c r="S28" s="840"/>
      <c r="T28" s="246">
        <f t="shared" si="0"/>
        <v>0</v>
      </c>
    </row>
    <row r="29" spans="1:20" s="492" customFormat="1" ht="24" customHeight="1">
      <c r="A29" s="392">
        <v>22201</v>
      </c>
      <c r="B29" s="246" t="s">
        <v>132</v>
      </c>
      <c r="C29" s="246">
        <f>SUM(C16:C23)</f>
        <v>30000000</v>
      </c>
      <c r="D29" s="246">
        <f t="shared" ref="D29:J29" si="2">SUM(D16:D28)</f>
        <v>13577555</v>
      </c>
      <c r="E29" s="246">
        <f t="shared" si="2"/>
        <v>24431000</v>
      </c>
      <c r="F29" s="246">
        <f t="shared" si="2"/>
        <v>32446285</v>
      </c>
      <c r="G29" s="246">
        <f t="shared" si="2"/>
        <v>48217600</v>
      </c>
      <c r="H29" s="246">
        <f t="shared" si="2"/>
        <v>400385000</v>
      </c>
      <c r="I29" s="246">
        <f t="shared" si="2"/>
        <v>279170748</v>
      </c>
      <c r="J29" s="246">
        <f t="shared" si="2"/>
        <v>528000000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840">
        <v>0</v>
      </c>
      <c r="T29" s="246">
        <f t="shared" si="0"/>
        <v>0</v>
      </c>
    </row>
    <row r="30" spans="1:20" s="492" customFormat="1" ht="24" customHeight="1">
      <c r="A30" s="392">
        <v>22202</v>
      </c>
      <c r="B30" s="246" t="s">
        <v>133</v>
      </c>
      <c r="C30" s="246" t="e">
        <f>C29+#REF!+#REF!+#REF!+#REF!</f>
        <v>#REF!</v>
      </c>
      <c r="D30" s="246" t="e">
        <f>D29+#REF!+#REF!+#REF!+#REF!</f>
        <v>#REF!</v>
      </c>
      <c r="E30" s="246" t="e">
        <f>E29+#REF!+#REF!+#REF!+#REF!</f>
        <v>#REF!</v>
      </c>
      <c r="F30" s="246" t="e">
        <f>F29+#REF!+#REF!+#REF!+#REF!</f>
        <v>#REF!</v>
      </c>
      <c r="G30" s="246" t="e">
        <f>G29+#REF!+#REF!+#REF!+#REF!</f>
        <v>#REF!</v>
      </c>
      <c r="H30" s="246" t="e">
        <f>H29+#REF!+#REF!+#REF!+#REF!</f>
        <v>#REF!</v>
      </c>
      <c r="I30" s="246" t="e">
        <f>I29+#REF!+#REF!+#REF!+#REF!</f>
        <v>#REF!</v>
      </c>
      <c r="J30" s="246" t="e">
        <f>J29+#REF!+#REF!+#REF!+#REF!</f>
        <v>#REF!</v>
      </c>
      <c r="K30" s="246">
        <v>2979200</v>
      </c>
      <c r="L30" s="246">
        <v>351406000</v>
      </c>
      <c r="M30" s="246">
        <f>245984200+105421800</f>
        <v>351406000</v>
      </c>
      <c r="N30" s="246">
        <f>M30</f>
        <v>351406000</v>
      </c>
      <c r="O30" s="246">
        <v>421406000</v>
      </c>
      <c r="P30" s="246">
        <v>471406000</v>
      </c>
      <c r="Q30" s="246">
        <v>471406000</v>
      </c>
      <c r="R30" s="246">
        <v>471406000</v>
      </c>
      <c r="S30" s="840">
        <v>521406000</v>
      </c>
      <c r="T30" s="246">
        <f t="shared" si="0"/>
        <v>50000000</v>
      </c>
    </row>
    <row r="31" spans="1:20" ht="24" customHeight="1">
      <c r="A31" s="392">
        <v>22203</v>
      </c>
      <c r="B31" s="246" t="s">
        <v>127</v>
      </c>
      <c r="C31" s="292"/>
      <c r="D31" s="292"/>
      <c r="E31" s="292"/>
      <c r="F31" s="274">
        <v>0</v>
      </c>
      <c r="G31" s="274" t="s">
        <v>4</v>
      </c>
      <c r="H31" s="274"/>
      <c r="I31" s="274"/>
      <c r="J31" s="274"/>
      <c r="K31" s="274">
        <v>2234400</v>
      </c>
      <c r="L31" s="274">
        <v>26812800</v>
      </c>
      <c r="M31" s="274">
        <v>18768960</v>
      </c>
      <c r="N31" s="274">
        <v>18768960</v>
      </c>
      <c r="O31" s="274">
        <v>18768960</v>
      </c>
      <c r="P31" s="274">
        <v>43768960</v>
      </c>
      <c r="Q31" s="274">
        <v>43768960</v>
      </c>
      <c r="R31" s="274">
        <v>43768960</v>
      </c>
      <c r="S31" s="853">
        <v>43768960</v>
      </c>
      <c r="T31" s="246">
        <f t="shared" si="0"/>
        <v>0</v>
      </c>
    </row>
    <row r="32" spans="1:20" ht="24" customHeight="1">
      <c r="A32" s="392">
        <v>22204</v>
      </c>
      <c r="B32" s="246" t="s">
        <v>128</v>
      </c>
      <c r="C32" s="292"/>
      <c r="D32" s="274">
        <v>0</v>
      </c>
      <c r="E32" s="274"/>
      <c r="F32" s="274"/>
      <c r="G32" s="274"/>
      <c r="H32" s="274"/>
      <c r="I32" s="274"/>
      <c r="J32" s="274"/>
      <c r="K32" s="274">
        <f>SUM(K28:K31)</f>
        <v>5213600</v>
      </c>
      <c r="L32" s="274">
        <v>45448000</v>
      </c>
      <c r="M32" s="274">
        <f>45448000*70%</f>
        <v>31813599.999999996</v>
      </c>
      <c r="N32" s="274">
        <f>45448000*70%</f>
        <v>31813599.999999996</v>
      </c>
      <c r="O32" s="274">
        <f>45448000*70%</f>
        <v>31813599.999999996</v>
      </c>
      <c r="P32" s="274">
        <v>16813600</v>
      </c>
      <c r="Q32" s="274">
        <v>16813600</v>
      </c>
      <c r="R32" s="274">
        <v>16813600</v>
      </c>
      <c r="S32" s="853">
        <v>22000000</v>
      </c>
      <c r="T32" s="246">
        <f t="shared" si="0"/>
        <v>5186400</v>
      </c>
    </row>
    <row r="33" spans="1:20" ht="24" customHeight="1">
      <c r="A33" s="392">
        <v>22205</v>
      </c>
      <c r="B33" s="246" t="s">
        <v>134</v>
      </c>
      <c r="C33" s="292"/>
      <c r="D33" s="274">
        <v>0</v>
      </c>
      <c r="E33" s="274"/>
      <c r="F33" s="274"/>
      <c r="G33" s="274"/>
      <c r="H33" s="274"/>
      <c r="I33" s="274"/>
      <c r="J33" s="274"/>
      <c r="K33" s="274"/>
      <c r="L33" s="274">
        <v>0</v>
      </c>
      <c r="M33" s="274">
        <v>0</v>
      </c>
      <c r="N33" s="274">
        <v>0</v>
      </c>
      <c r="O33" s="274">
        <v>0</v>
      </c>
      <c r="P33" s="274">
        <v>0</v>
      </c>
      <c r="Q33" s="274">
        <v>0</v>
      </c>
      <c r="R33" s="274">
        <v>0</v>
      </c>
      <c r="S33" s="853">
        <v>0</v>
      </c>
      <c r="T33" s="246">
        <f t="shared" si="0"/>
        <v>0</v>
      </c>
    </row>
    <row r="34" spans="1:20" ht="24" customHeight="1">
      <c r="A34" s="392"/>
      <c r="B34" s="280" t="s">
        <v>92</v>
      </c>
      <c r="C34" s="292"/>
      <c r="D34" s="292"/>
      <c r="E34" s="292"/>
      <c r="F34" s="292"/>
      <c r="G34" s="292"/>
      <c r="H34" s="292"/>
      <c r="I34" s="292"/>
      <c r="J34" s="292"/>
      <c r="K34" s="246">
        <v>0</v>
      </c>
      <c r="L34" s="246">
        <f t="shared" ref="L34:Q34" si="3">SUM(L29:L33)</f>
        <v>423666800</v>
      </c>
      <c r="M34" s="246">
        <f t="shared" si="3"/>
        <v>401988560</v>
      </c>
      <c r="N34" s="280">
        <f t="shared" si="3"/>
        <v>401988560</v>
      </c>
      <c r="O34" s="280">
        <f t="shared" si="3"/>
        <v>471988560</v>
      </c>
      <c r="P34" s="280">
        <f t="shared" si="3"/>
        <v>531988560</v>
      </c>
      <c r="Q34" s="280">
        <f t="shared" si="3"/>
        <v>531988560</v>
      </c>
      <c r="R34" s="280">
        <f>SUM(R29:R33)</f>
        <v>531988560</v>
      </c>
      <c r="S34" s="851">
        <f>SUM(S29:S33)</f>
        <v>587174960</v>
      </c>
      <c r="T34" s="280">
        <f t="shared" si="0"/>
        <v>55186400</v>
      </c>
    </row>
    <row r="35" spans="1:20" ht="24" customHeight="1">
      <c r="A35" s="476">
        <v>2230</v>
      </c>
      <c r="B35" s="280" t="s">
        <v>130</v>
      </c>
      <c r="C35" s="292"/>
      <c r="D35" s="292"/>
      <c r="E35" s="292"/>
      <c r="F35" s="292"/>
      <c r="G35" s="292"/>
      <c r="H35" s="292"/>
      <c r="I35" s="292"/>
      <c r="J35" s="292"/>
      <c r="K35" s="246">
        <v>4468800</v>
      </c>
      <c r="L35" s="246"/>
      <c r="M35" s="246"/>
      <c r="N35" s="246"/>
      <c r="O35" s="246"/>
      <c r="P35" s="246"/>
      <c r="Q35" s="246"/>
      <c r="R35" s="246"/>
      <c r="S35" s="840"/>
      <c r="T35" s="246">
        <f t="shared" si="0"/>
        <v>0</v>
      </c>
    </row>
    <row r="36" spans="1:20" ht="24" customHeight="1">
      <c r="A36" s="392">
        <v>22301</v>
      </c>
      <c r="B36" s="246" t="s">
        <v>49</v>
      </c>
      <c r="C36" s="292"/>
      <c r="D36" s="292"/>
      <c r="E36" s="292"/>
      <c r="F36" s="292"/>
      <c r="G36" s="292"/>
      <c r="H36" s="292"/>
      <c r="I36" s="292"/>
      <c r="J36" s="292"/>
      <c r="K36" s="290">
        <f>SUM(K34:K35)</f>
        <v>4468800</v>
      </c>
      <c r="L36" s="290">
        <v>67240000</v>
      </c>
      <c r="M36" s="290">
        <v>47068000</v>
      </c>
      <c r="N36" s="290">
        <v>60000000</v>
      </c>
      <c r="O36" s="290">
        <v>60000000</v>
      </c>
      <c r="P36" s="290">
        <v>160000000</v>
      </c>
      <c r="Q36" s="290">
        <v>160000000</v>
      </c>
      <c r="R36" s="290">
        <v>160000000</v>
      </c>
      <c r="S36" s="858">
        <v>160000000</v>
      </c>
      <c r="T36" s="246">
        <f t="shared" si="0"/>
        <v>0</v>
      </c>
    </row>
    <row r="37" spans="1:20" ht="24" customHeight="1">
      <c r="A37" s="392">
        <v>22302</v>
      </c>
      <c r="B37" s="246" t="s">
        <v>249</v>
      </c>
      <c r="C37" s="292"/>
      <c r="D37" s="292"/>
      <c r="E37" s="292"/>
      <c r="F37" s="292"/>
      <c r="G37" s="292"/>
      <c r="H37" s="292"/>
      <c r="I37" s="292"/>
      <c r="J37" s="292"/>
      <c r="K37" s="290" t="e">
        <f ca="1">K36+K32+K21+K16+#REF!</f>
        <v>#REF!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887">
        <v>0</v>
      </c>
      <c r="T37" s="246">
        <f t="shared" si="0"/>
        <v>0</v>
      </c>
    </row>
    <row r="38" spans="1:20" ht="24" customHeight="1">
      <c r="A38" s="392">
        <v>22313</v>
      </c>
      <c r="B38" s="246" t="s">
        <v>984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81">
        <v>0</v>
      </c>
      <c r="M38" s="281">
        <v>0</v>
      </c>
      <c r="N38" s="281">
        <v>0</v>
      </c>
      <c r="O38" s="281">
        <v>0</v>
      </c>
      <c r="P38" s="281">
        <v>25000000</v>
      </c>
      <c r="Q38" s="281">
        <v>25000000</v>
      </c>
      <c r="R38" s="281">
        <v>25000000</v>
      </c>
      <c r="S38" s="887">
        <v>25000000</v>
      </c>
      <c r="T38" s="246">
        <f t="shared" si="0"/>
        <v>0</v>
      </c>
    </row>
    <row r="39" spans="1:20" ht="24" customHeight="1">
      <c r="A39" s="392"/>
      <c r="B39" s="280" t="s">
        <v>92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0">
        <f t="shared" ref="L39:P39" si="4">SUM(L36:L38)</f>
        <v>67240000</v>
      </c>
      <c r="M39" s="290">
        <f t="shared" si="4"/>
        <v>47068000</v>
      </c>
      <c r="N39" s="291">
        <f t="shared" si="4"/>
        <v>60000000</v>
      </c>
      <c r="O39" s="291">
        <f t="shared" si="4"/>
        <v>60000000</v>
      </c>
      <c r="P39" s="291">
        <f t="shared" si="4"/>
        <v>185000000</v>
      </c>
      <c r="Q39" s="291">
        <f>SUM(Q36:Q38)</f>
        <v>185000000</v>
      </c>
      <c r="R39" s="291">
        <f>SUM(R36:R38)</f>
        <v>185000000</v>
      </c>
      <c r="S39" s="860">
        <f>SUM(S36:S38)</f>
        <v>185000000</v>
      </c>
      <c r="T39" s="280">
        <f t="shared" si="0"/>
        <v>0</v>
      </c>
    </row>
    <row r="40" spans="1:20" ht="24" customHeight="1">
      <c r="A40" s="476">
        <v>270</v>
      </c>
      <c r="B40" s="280" t="s">
        <v>253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867"/>
      <c r="T40" s="246">
        <f t="shared" si="0"/>
        <v>0</v>
      </c>
    </row>
    <row r="41" spans="1:20" ht="24" customHeight="1">
      <c r="A41" s="476">
        <v>2710</v>
      </c>
      <c r="B41" s="280" t="s">
        <v>252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867"/>
      <c r="T41" s="246">
        <f t="shared" si="0"/>
        <v>0</v>
      </c>
    </row>
    <row r="42" spans="1:20" ht="24" customHeight="1">
      <c r="A42" s="392">
        <v>27601</v>
      </c>
      <c r="B42" s="246" t="s">
        <v>264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81">
        <v>4468800</v>
      </c>
      <c r="M42" s="281">
        <f>4468800*70%</f>
        <v>3128160</v>
      </c>
      <c r="N42" s="281">
        <v>0</v>
      </c>
      <c r="O42" s="281">
        <v>0</v>
      </c>
      <c r="P42" s="281">
        <v>25000000</v>
      </c>
      <c r="Q42" s="281">
        <v>25000000</v>
      </c>
      <c r="R42" s="281">
        <v>25000000</v>
      </c>
      <c r="S42" s="887">
        <v>25000000</v>
      </c>
      <c r="T42" s="246">
        <f t="shared" si="0"/>
        <v>0</v>
      </c>
    </row>
    <row r="43" spans="1:20" ht="24" customHeight="1">
      <c r="A43" s="392">
        <v>27402</v>
      </c>
      <c r="B43" s="246" t="s">
        <v>985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81">
        <v>0</v>
      </c>
      <c r="M43" s="281">
        <v>216000000</v>
      </c>
      <c r="N43" s="281">
        <v>0</v>
      </c>
      <c r="O43" s="281">
        <v>0</v>
      </c>
      <c r="P43" s="281">
        <v>40000000</v>
      </c>
      <c r="Q43" s="281">
        <v>120000000</v>
      </c>
      <c r="R43" s="281">
        <v>273600000</v>
      </c>
      <c r="S43" s="887">
        <v>0</v>
      </c>
      <c r="T43" s="246">
        <f t="shared" si="0"/>
        <v>-273600000</v>
      </c>
    </row>
    <row r="44" spans="1:20" ht="24" customHeight="1">
      <c r="A44" s="392">
        <v>27502</v>
      </c>
      <c r="B44" s="246" t="s">
        <v>148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81">
        <v>2979200</v>
      </c>
      <c r="M44" s="281">
        <f>2979200*70%</f>
        <v>2085439.9999999998</v>
      </c>
      <c r="N44" s="281">
        <f t="shared" ref="N44:S44" si="5">M44</f>
        <v>2085439.9999999998</v>
      </c>
      <c r="O44" s="281">
        <f t="shared" si="5"/>
        <v>2085439.9999999998</v>
      </c>
      <c r="P44" s="281">
        <f t="shared" si="5"/>
        <v>2085439.9999999998</v>
      </c>
      <c r="Q44" s="281">
        <f t="shared" si="5"/>
        <v>2085439.9999999998</v>
      </c>
      <c r="R44" s="281">
        <f t="shared" si="5"/>
        <v>2085439.9999999998</v>
      </c>
      <c r="S44" s="887">
        <f t="shared" si="5"/>
        <v>2085439.9999999998</v>
      </c>
      <c r="T44" s="246">
        <f t="shared" si="0"/>
        <v>0</v>
      </c>
    </row>
    <row r="45" spans="1:20" ht="24" customHeight="1">
      <c r="A45" s="392">
        <v>27604</v>
      </c>
      <c r="B45" s="246" t="s">
        <v>149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81">
        <v>2234400</v>
      </c>
      <c r="M45" s="281">
        <f>2234400*70%</f>
        <v>1564080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887">
        <v>0</v>
      </c>
      <c r="T45" s="246">
        <f t="shared" si="0"/>
        <v>0</v>
      </c>
    </row>
    <row r="46" spans="1:20" ht="24" customHeight="1">
      <c r="A46" s="392"/>
      <c r="B46" s="280" t="s">
        <v>92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81"/>
      <c r="M46" s="281"/>
      <c r="N46" s="281"/>
      <c r="O46" s="281"/>
      <c r="P46" s="281"/>
      <c r="Q46" s="284">
        <f>SUM(Q42:Q45)</f>
        <v>147085440</v>
      </c>
      <c r="R46" s="284">
        <f>SUM(R42:R45)</f>
        <v>300685440</v>
      </c>
      <c r="S46" s="888">
        <f>SUM(S42:S45)</f>
        <v>27085440</v>
      </c>
      <c r="T46" s="280">
        <f t="shared" si="0"/>
        <v>-273600000</v>
      </c>
    </row>
    <row r="47" spans="1:20" ht="24" customHeight="1">
      <c r="A47" s="476">
        <v>2720</v>
      </c>
      <c r="B47" s="280" t="s">
        <v>1096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81"/>
      <c r="M47" s="281"/>
      <c r="N47" s="281"/>
      <c r="O47" s="281"/>
      <c r="P47" s="281"/>
      <c r="Q47" s="281"/>
      <c r="R47" s="281"/>
      <c r="S47" s="887"/>
      <c r="T47" s="246">
        <f t="shared" si="0"/>
        <v>0</v>
      </c>
    </row>
    <row r="48" spans="1:20" ht="24" customHeight="1">
      <c r="A48" s="392">
        <v>27202</v>
      </c>
      <c r="B48" s="246" t="s">
        <v>1223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81"/>
      <c r="M48" s="281"/>
      <c r="N48" s="281"/>
      <c r="O48" s="281"/>
      <c r="P48" s="281"/>
      <c r="Q48" s="281"/>
      <c r="R48" s="281">
        <v>250000000</v>
      </c>
      <c r="S48" s="887">
        <v>370000000</v>
      </c>
      <c r="T48" s="246">
        <f t="shared" si="0"/>
        <v>120000000</v>
      </c>
    </row>
    <row r="49" spans="1:20" ht="24" customHeight="1">
      <c r="A49" s="392">
        <v>27209</v>
      </c>
      <c r="B49" s="246" t="s">
        <v>1172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81"/>
      <c r="M49" s="281"/>
      <c r="N49" s="281"/>
      <c r="O49" s="281"/>
      <c r="P49" s="281"/>
      <c r="Q49" s="281"/>
      <c r="R49" s="281">
        <v>100000000</v>
      </c>
      <c r="S49" s="887">
        <v>0</v>
      </c>
      <c r="T49" s="246">
        <f t="shared" si="0"/>
        <v>-100000000</v>
      </c>
    </row>
    <row r="50" spans="1:20" ht="24" customHeight="1">
      <c r="A50" s="392"/>
      <c r="B50" s="280" t="s">
        <v>92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81">
        <f>SUM(L42:L45)</f>
        <v>9682400</v>
      </c>
      <c r="M50" s="281">
        <f>SUM(M42:M45)</f>
        <v>222777680</v>
      </c>
      <c r="N50" s="284">
        <f>SUM(N42:N45)</f>
        <v>2085439.9999999998</v>
      </c>
      <c r="O50" s="284">
        <f>SUM(O42:O45)</f>
        <v>2085439.9999999998</v>
      </c>
      <c r="P50" s="284">
        <f>SUM(P42:P45)</f>
        <v>67085440</v>
      </c>
      <c r="Q50" s="284"/>
      <c r="R50" s="284">
        <f>SUM(R48:R49)</f>
        <v>350000000</v>
      </c>
      <c r="S50" s="284">
        <f>SUM(S48:S49)</f>
        <v>370000000</v>
      </c>
      <c r="T50" s="280">
        <f t="shared" si="0"/>
        <v>20000000</v>
      </c>
    </row>
    <row r="51" spans="1:20" ht="24" customHeight="1">
      <c r="A51" s="392"/>
      <c r="B51" s="280" t="s">
        <v>37</v>
      </c>
      <c r="C51" s="478"/>
      <c r="D51" s="478"/>
      <c r="E51" s="478"/>
      <c r="F51" s="478"/>
      <c r="G51" s="478"/>
      <c r="H51" s="478"/>
      <c r="I51" s="478"/>
      <c r="J51" s="478"/>
      <c r="K51" s="478"/>
      <c r="L51" s="284">
        <f>L50+L39+L34+L27+L8</f>
        <v>1360659334</v>
      </c>
      <c r="M51" s="284">
        <f>M50+M39+M34+M27+M8</f>
        <v>2221154813</v>
      </c>
      <c r="N51" s="284">
        <f>N50+N39+N34+N27+N8</f>
        <v>2067964813</v>
      </c>
      <c r="O51" s="284">
        <f>O50+O39+O34+O27+O8</f>
        <v>2612324013</v>
      </c>
      <c r="P51" s="284">
        <f>P50+P39+P34+P27+P8</f>
        <v>3950376813</v>
      </c>
      <c r="Q51" s="284">
        <f>Q50+Q39+Q34+Q27+Q8+Q46</f>
        <v>4494932013</v>
      </c>
      <c r="R51" s="284">
        <f>R50+R39+R34+R27+R8+R46</f>
        <v>5692145133</v>
      </c>
      <c r="S51" s="284">
        <f>S50+S39+S34+S27+S8+S46</f>
        <v>7041843757</v>
      </c>
      <c r="T51" s="280">
        <f t="shared" si="0"/>
        <v>1349698624</v>
      </c>
    </row>
    <row r="54" spans="1:20" ht="23.1" customHeight="1">
      <c r="M54" s="596"/>
    </row>
  </sheetData>
  <phoneticPr fontId="0" type="noConversion"/>
  <printOptions gridLines="1"/>
  <pageMargins left="0.76" right="0.25" top="1.1000000000000001" bottom="0.49" header="0.53" footer="0.21"/>
  <pageSetup scale="53" orientation="portrait" r:id="rId1"/>
  <headerFooter alignWithMargins="0">
    <oddHeader>&amp;C&amp;"Algerian,Bold"&amp;36WASAARADDA BEERAHA</oddHeader>
    <oddFooter>&amp;R&amp;"Times New Roman,Bold"&amp;14 36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7"/>
  <sheetViews>
    <sheetView view="pageBreakPreview" zoomScale="60" workbookViewId="0">
      <selection activeCell="S4" sqref="S4"/>
    </sheetView>
  </sheetViews>
  <sheetFormatPr defaultRowHeight="21.95" customHeight="1"/>
  <cols>
    <col min="1" max="1" width="19.83203125" style="584" bestFit="1" customWidth="1"/>
    <col min="2" max="2" width="78.33203125" style="528" customWidth="1"/>
    <col min="3" max="3" width="16.1640625" style="528" hidden="1" customWidth="1"/>
    <col min="4" max="4" width="15.5" style="528" hidden="1" customWidth="1"/>
    <col min="5" max="5" width="18" style="528" hidden="1" customWidth="1"/>
    <col min="6" max="6" width="16.1640625" style="528" hidden="1" customWidth="1"/>
    <col min="7" max="7" width="0.1640625" style="528" hidden="1" customWidth="1"/>
    <col min="8" max="8" width="21" style="528" hidden="1" customWidth="1"/>
    <col min="9" max="9" width="1.5" style="528" hidden="1" customWidth="1"/>
    <col min="10" max="10" width="1.6640625" style="528" hidden="1" customWidth="1"/>
    <col min="11" max="11" width="21" style="528" hidden="1" customWidth="1"/>
    <col min="12" max="12" width="0.1640625" style="528" hidden="1" customWidth="1"/>
    <col min="13" max="17" width="31" style="528" hidden="1" customWidth="1"/>
    <col min="18" max="20" width="31" style="528" customWidth="1"/>
    <col min="21" max="16384" width="9.33203125" style="528"/>
  </cols>
  <sheetData>
    <row r="1" spans="1:20" ht="21.95" customHeight="1">
      <c r="A1" s="544" t="s">
        <v>40</v>
      </c>
      <c r="B1" s="545" t="s">
        <v>1010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292"/>
      <c r="O1" s="292"/>
      <c r="P1" s="292"/>
      <c r="Q1" s="292"/>
      <c r="R1" s="292"/>
      <c r="S1" s="292"/>
      <c r="T1" s="292"/>
    </row>
    <row r="2" spans="1:20" ht="21.95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101</v>
      </c>
      <c r="J2" s="482" t="s">
        <v>107</v>
      </c>
      <c r="K2" s="482" t="s">
        <v>117</v>
      </c>
      <c r="L2" s="482" t="s">
        <v>151</v>
      </c>
      <c r="M2" s="482" t="s">
        <v>257</v>
      </c>
      <c r="N2" s="482" t="s">
        <v>440</v>
      </c>
      <c r="O2" s="482" t="s">
        <v>814</v>
      </c>
      <c r="P2" s="482" t="s">
        <v>874</v>
      </c>
      <c r="Q2" s="482" t="s">
        <v>973</v>
      </c>
      <c r="R2" s="482" t="s">
        <v>1160</v>
      </c>
      <c r="S2" s="482" t="s">
        <v>1320</v>
      </c>
      <c r="T2" s="482" t="s">
        <v>56</v>
      </c>
    </row>
    <row r="3" spans="1:20" ht="21.95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46">
        <f>572163600+12000000+4149600</f>
        <v>588313200</v>
      </c>
      <c r="L3" s="292"/>
      <c r="M3" s="246"/>
      <c r="N3" s="246"/>
      <c r="O3" s="246"/>
      <c r="P3" s="246"/>
      <c r="Q3" s="246"/>
      <c r="R3" s="246"/>
      <c r="S3" s="246"/>
      <c r="T3" s="246"/>
    </row>
    <row r="4" spans="1:20" ht="21.95" customHeight="1">
      <c r="A4" s="392">
        <v>21101</v>
      </c>
      <c r="B4" s="246" t="s">
        <v>496</v>
      </c>
      <c r="C4" s="246">
        <v>148515000</v>
      </c>
      <c r="D4" s="246">
        <v>297002000</v>
      </c>
      <c r="E4" s="246">
        <v>267852000</v>
      </c>
      <c r="F4" s="246">
        <v>272157000</v>
      </c>
      <c r="G4" s="246">
        <v>286368000</v>
      </c>
      <c r="H4" s="246">
        <f>286368000+65424000</f>
        <v>351792000</v>
      </c>
      <c r="I4" s="246">
        <v>457329600</v>
      </c>
      <c r="J4" s="246">
        <f>512163600+54000000+6000000</f>
        <v>572163600</v>
      </c>
      <c r="K4" s="246">
        <v>0</v>
      </c>
      <c r="L4" s="246">
        <f>692162600+720258200</f>
        <v>1412420800</v>
      </c>
      <c r="M4" s="246">
        <v>1546080000</v>
      </c>
      <c r="N4" s="246">
        <v>1824638400</v>
      </c>
      <c r="O4" s="246">
        <v>1972557600</v>
      </c>
      <c r="P4" s="246">
        <v>2967681600</v>
      </c>
      <c r="Q4" s="246">
        <v>3331373760</v>
      </c>
      <c r="R4" s="246">
        <v>3564138240</v>
      </c>
      <c r="S4" s="840">
        <v>5284566144</v>
      </c>
      <c r="T4" s="246">
        <f>S4-R4</f>
        <v>1720427904</v>
      </c>
    </row>
    <row r="5" spans="1:20" ht="21.95" customHeight="1">
      <c r="A5" s="392">
        <v>21102</v>
      </c>
      <c r="B5" s="246" t="s">
        <v>557</v>
      </c>
      <c r="C5" s="246">
        <v>11833000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f>48240000+1440000+7920000</f>
        <v>57600000</v>
      </c>
      <c r="L5" s="246">
        <v>0</v>
      </c>
      <c r="M5" s="246">
        <v>0</v>
      </c>
      <c r="N5" s="246">
        <v>97200000</v>
      </c>
      <c r="O5" s="246">
        <v>97200000</v>
      </c>
      <c r="P5" s="246">
        <v>194400000</v>
      </c>
      <c r="Q5" s="246">
        <v>194400000</v>
      </c>
      <c r="R5" s="246">
        <v>194400000</v>
      </c>
      <c r="S5" s="840">
        <v>291600000</v>
      </c>
      <c r="T5" s="246">
        <f t="shared" ref="T5:T56" si="0">S5-R5</f>
        <v>97200000</v>
      </c>
    </row>
    <row r="6" spans="1:20" ht="21.95" customHeight="1">
      <c r="A6" s="392">
        <v>21103</v>
      </c>
      <c r="B6" s="246" t="s">
        <v>30</v>
      </c>
      <c r="C6" s="246">
        <v>10800000</v>
      </c>
      <c r="D6" s="246">
        <v>10800000</v>
      </c>
      <c r="E6" s="246">
        <v>10800000</v>
      </c>
      <c r="F6" s="246">
        <v>10800000</v>
      </c>
      <c r="G6" s="246">
        <v>14400000</v>
      </c>
      <c r="H6" s="246">
        <v>14400000</v>
      </c>
      <c r="I6" s="246">
        <v>14400000</v>
      </c>
      <c r="J6" s="246">
        <f>14400000+32400000+1440000</f>
        <v>48240000</v>
      </c>
      <c r="K6" s="246">
        <v>0</v>
      </c>
      <c r="L6" s="246">
        <f>61200000+61200000</f>
        <v>122400000</v>
      </c>
      <c r="M6" s="246">
        <v>61200000</v>
      </c>
      <c r="N6" s="246">
        <v>100800000</v>
      </c>
      <c r="O6" s="246">
        <v>151200000</v>
      </c>
      <c r="P6" s="246">
        <v>288000000</v>
      </c>
      <c r="Q6" s="246">
        <v>324000000</v>
      </c>
      <c r="R6" s="246">
        <v>324000000</v>
      </c>
      <c r="S6" s="840">
        <v>396000000</v>
      </c>
      <c r="T6" s="246">
        <f t="shared" si="0"/>
        <v>72000000</v>
      </c>
    </row>
    <row r="7" spans="1:20" ht="21.95" customHeight="1">
      <c r="A7" s="392">
        <v>21105</v>
      </c>
      <c r="B7" s="246" t="s">
        <v>526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>
        <v>0</v>
      </c>
      <c r="O7" s="246">
        <v>216000000</v>
      </c>
      <c r="P7" s="246">
        <v>216000000</v>
      </c>
      <c r="Q7" s="246">
        <v>216000000</v>
      </c>
      <c r="R7" s="246">
        <v>216000000</v>
      </c>
      <c r="S7" s="840">
        <v>288000000</v>
      </c>
      <c r="T7" s="246">
        <f t="shared" si="0"/>
        <v>72000000</v>
      </c>
    </row>
    <row r="8" spans="1:20" ht="21.95" customHeight="1">
      <c r="A8" s="392"/>
      <c r="B8" s="280" t="s">
        <v>92</v>
      </c>
      <c r="C8" s="246"/>
      <c r="D8" s="246">
        <v>0</v>
      </c>
      <c r="E8" s="246">
        <v>6000000</v>
      </c>
      <c r="F8" s="246">
        <v>3000000</v>
      </c>
      <c r="G8" s="246">
        <v>0</v>
      </c>
      <c r="H8" s="246">
        <v>0</v>
      </c>
      <c r="I8" s="246">
        <v>0</v>
      </c>
      <c r="J8" s="246">
        <v>15000000</v>
      </c>
      <c r="K8" s="246">
        <v>0</v>
      </c>
      <c r="L8" s="280">
        <f>SUM(L4:L6)</f>
        <v>1534820800</v>
      </c>
      <c r="M8" s="280">
        <f>SUM(M4:M6)</f>
        <v>1607280000</v>
      </c>
      <c r="N8" s="280">
        <f t="shared" ref="N8:S8" si="1">SUM(N4:N7)</f>
        <v>2022638400</v>
      </c>
      <c r="O8" s="280">
        <f t="shared" si="1"/>
        <v>2436957600</v>
      </c>
      <c r="P8" s="280">
        <f t="shared" si="1"/>
        <v>3666081600</v>
      </c>
      <c r="Q8" s="280">
        <f t="shared" si="1"/>
        <v>4065773760</v>
      </c>
      <c r="R8" s="280">
        <f t="shared" si="1"/>
        <v>4298538240</v>
      </c>
      <c r="S8" s="851">
        <f t="shared" si="1"/>
        <v>6260166144</v>
      </c>
      <c r="T8" s="280">
        <f t="shared" si="0"/>
        <v>1961627904</v>
      </c>
    </row>
    <row r="9" spans="1:20" ht="21.95" customHeight="1">
      <c r="A9" s="476">
        <v>220</v>
      </c>
      <c r="B9" s="280" t="s">
        <v>225</v>
      </c>
      <c r="C9" s="246"/>
      <c r="D9" s="246">
        <v>0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/>
      <c r="M9" s="246"/>
      <c r="N9" s="246"/>
      <c r="O9" s="246"/>
      <c r="P9" s="246"/>
      <c r="Q9" s="246"/>
      <c r="R9" s="246"/>
      <c r="S9" s="840"/>
      <c r="T9" s="246">
        <f t="shared" si="0"/>
        <v>0</v>
      </c>
    </row>
    <row r="10" spans="1:20" ht="21.95" customHeight="1">
      <c r="A10" s="476">
        <v>2210</v>
      </c>
      <c r="B10" s="280" t="s">
        <v>226</v>
      </c>
      <c r="C10" s="246"/>
      <c r="D10" s="246">
        <v>20000000</v>
      </c>
      <c r="E10" s="246">
        <v>56000000</v>
      </c>
      <c r="F10" s="246">
        <v>0</v>
      </c>
      <c r="G10" s="246">
        <v>0</v>
      </c>
      <c r="H10" s="246">
        <v>149500000</v>
      </c>
      <c r="I10" s="246">
        <v>0</v>
      </c>
      <c r="J10" s="246">
        <v>0</v>
      </c>
      <c r="K10" s="246">
        <v>14896000</v>
      </c>
      <c r="L10" s="246"/>
      <c r="M10" s="246"/>
      <c r="N10" s="246"/>
      <c r="O10" s="246"/>
      <c r="P10" s="246"/>
      <c r="Q10" s="246"/>
      <c r="R10" s="246"/>
      <c r="S10" s="840"/>
      <c r="T10" s="246">
        <f t="shared" si="0"/>
        <v>0</v>
      </c>
    </row>
    <row r="11" spans="1:20" ht="21.95" customHeight="1">
      <c r="A11" s="392">
        <v>22101</v>
      </c>
      <c r="B11" s="246" t="s">
        <v>33</v>
      </c>
      <c r="C11" s="246">
        <v>0</v>
      </c>
      <c r="D11" s="246">
        <v>2000000</v>
      </c>
      <c r="E11" s="246">
        <v>2000000</v>
      </c>
      <c r="F11" s="246">
        <v>1000000</v>
      </c>
      <c r="G11" s="246">
        <v>3200000</v>
      </c>
      <c r="H11" s="246">
        <v>4000000</v>
      </c>
      <c r="I11" s="246">
        <v>2979200</v>
      </c>
      <c r="J11" s="246">
        <v>4000000</v>
      </c>
      <c r="K11" s="246">
        <v>8937600</v>
      </c>
      <c r="L11" s="246">
        <f>32344000+20258560</f>
        <v>52602560</v>
      </c>
      <c r="M11" s="246">
        <v>22642800</v>
      </c>
      <c r="N11" s="246">
        <f>M11</f>
        <v>22642800</v>
      </c>
      <c r="O11" s="246">
        <f>N11</f>
        <v>22642800</v>
      </c>
      <c r="P11" s="246">
        <v>27892800</v>
      </c>
      <c r="Q11" s="246">
        <v>27892800</v>
      </c>
      <c r="R11" s="246">
        <v>27892800</v>
      </c>
      <c r="S11" s="840">
        <v>27892800</v>
      </c>
      <c r="T11" s="246">
        <f t="shared" si="0"/>
        <v>0</v>
      </c>
    </row>
    <row r="12" spans="1:20" ht="21.95" customHeight="1">
      <c r="A12" s="392">
        <v>22102</v>
      </c>
      <c r="B12" s="246" t="s">
        <v>124</v>
      </c>
      <c r="C12" s="246"/>
      <c r="D12" s="246"/>
      <c r="E12" s="246"/>
      <c r="F12" s="246"/>
      <c r="G12" s="246"/>
      <c r="H12" s="246"/>
      <c r="I12" s="246"/>
      <c r="J12" s="246"/>
      <c r="K12" s="246">
        <v>18620000</v>
      </c>
      <c r="L12" s="246">
        <v>7500000</v>
      </c>
      <c r="M12" s="246">
        <f>7500000*70%</f>
        <v>5250000</v>
      </c>
      <c r="N12" s="246">
        <f>7500000*70%</f>
        <v>5250000</v>
      </c>
      <c r="O12" s="246">
        <f>7500000*70%</f>
        <v>5250000</v>
      </c>
      <c r="P12" s="246">
        <v>0</v>
      </c>
      <c r="Q12" s="246">
        <v>0</v>
      </c>
      <c r="R12" s="246">
        <v>0</v>
      </c>
      <c r="S12" s="840">
        <v>0</v>
      </c>
      <c r="T12" s="246">
        <f t="shared" si="0"/>
        <v>0</v>
      </c>
    </row>
    <row r="13" spans="1:20" s="530" customFormat="1" ht="21.95" customHeight="1">
      <c r="A13" s="392">
        <v>22103</v>
      </c>
      <c r="B13" s="246" t="s">
        <v>125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840">
        <v>0</v>
      </c>
      <c r="T13" s="246">
        <f t="shared" si="0"/>
        <v>0</v>
      </c>
    </row>
    <row r="14" spans="1:20" ht="21.95" customHeight="1">
      <c r="A14" s="392">
        <v>22104</v>
      </c>
      <c r="B14" s="246" t="s">
        <v>157</v>
      </c>
      <c r="C14" s="246"/>
      <c r="D14" s="246"/>
      <c r="E14" s="246"/>
      <c r="F14" s="246"/>
      <c r="G14" s="246"/>
      <c r="H14" s="246"/>
      <c r="I14" s="246"/>
      <c r="J14" s="246"/>
      <c r="K14" s="246">
        <v>208212162</v>
      </c>
      <c r="L14" s="246">
        <f>29896000+77240000</f>
        <v>107136000</v>
      </c>
      <c r="M14" s="246">
        <v>20927200</v>
      </c>
      <c r="N14" s="246">
        <f>M14</f>
        <v>20927200</v>
      </c>
      <c r="O14" s="246">
        <v>50927200</v>
      </c>
      <c r="P14" s="246">
        <v>50927200</v>
      </c>
      <c r="Q14" s="246">
        <v>50927200</v>
      </c>
      <c r="R14" s="246">
        <v>100927200</v>
      </c>
      <c r="S14" s="840">
        <v>100927200</v>
      </c>
      <c r="T14" s="246">
        <f t="shared" si="0"/>
        <v>0</v>
      </c>
    </row>
    <row r="15" spans="1:20" ht="21.95" customHeight="1">
      <c r="A15" s="392">
        <v>22105</v>
      </c>
      <c r="B15" s="246" t="s">
        <v>135</v>
      </c>
      <c r="C15" s="246"/>
      <c r="D15" s="246"/>
      <c r="E15" s="246"/>
      <c r="F15" s="246"/>
      <c r="G15" s="246"/>
      <c r="H15" s="246"/>
      <c r="I15" s="246"/>
      <c r="J15" s="246"/>
      <c r="K15" s="246">
        <v>7448000</v>
      </c>
      <c r="L15" s="246">
        <f>11172000+27065760</f>
        <v>38237760</v>
      </c>
      <c r="M15" s="246">
        <v>7820400</v>
      </c>
      <c r="N15" s="246">
        <f>M15</f>
        <v>7820400</v>
      </c>
      <c r="O15" s="246">
        <f>N15</f>
        <v>7820400</v>
      </c>
      <c r="P15" s="246">
        <f>O15</f>
        <v>7820400</v>
      </c>
      <c r="Q15" s="246">
        <f>P15</f>
        <v>7820400</v>
      </c>
      <c r="R15" s="246">
        <f>Q15</f>
        <v>7820400</v>
      </c>
      <c r="S15" s="840">
        <f>R15</f>
        <v>7820400</v>
      </c>
      <c r="T15" s="246">
        <f t="shared" si="0"/>
        <v>0</v>
      </c>
    </row>
    <row r="16" spans="1:20" ht="21.95" customHeight="1">
      <c r="A16" s="392">
        <v>22106</v>
      </c>
      <c r="B16" s="246" t="s">
        <v>126</v>
      </c>
      <c r="C16" s="246">
        <v>6000000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80">
        <f>SUM(K8:K15)</f>
        <v>258113762</v>
      </c>
      <c r="L16" s="246">
        <v>9228496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840">
        <v>0</v>
      </c>
      <c r="T16" s="246">
        <f t="shared" si="0"/>
        <v>0</v>
      </c>
    </row>
    <row r="17" spans="1:20" ht="21.95" customHeight="1">
      <c r="A17" s="392">
        <v>22107</v>
      </c>
      <c r="B17" s="246" t="s">
        <v>48</v>
      </c>
      <c r="C17" s="246">
        <v>0</v>
      </c>
      <c r="D17" s="246">
        <v>6000000</v>
      </c>
      <c r="E17" s="246">
        <v>8000000</v>
      </c>
      <c r="F17" s="246">
        <v>16000000</v>
      </c>
      <c r="G17" s="246">
        <v>20217600</v>
      </c>
      <c r="H17" s="246">
        <v>25272000</v>
      </c>
      <c r="I17" s="246">
        <v>37442586</v>
      </c>
      <c r="J17" s="246">
        <v>55000000</v>
      </c>
      <c r="K17" s="246"/>
      <c r="L17" s="246">
        <f>11172000+32448000</f>
        <v>43620000</v>
      </c>
      <c r="M17" s="246">
        <v>7820400</v>
      </c>
      <c r="N17" s="246">
        <f>M17*70%</f>
        <v>5474280</v>
      </c>
      <c r="O17" s="246">
        <v>35474280</v>
      </c>
      <c r="P17" s="246">
        <v>35474280</v>
      </c>
      <c r="Q17" s="246">
        <v>55474280</v>
      </c>
      <c r="R17" s="246">
        <v>55474280</v>
      </c>
      <c r="S17" s="840">
        <v>55474280</v>
      </c>
      <c r="T17" s="246">
        <f t="shared" si="0"/>
        <v>0</v>
      </c>
    </row>
    <row r="18" spans="1:20" ht="21.95" customHeight="1">
      <c r="A18" s="392">
        <v>22108</v>
      </c>
      <c r="B18" s="246" t="s">
        <v>93</v>
      </c>
      <c r="C18" s="246">
        <v>12000000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840">
        <v>0</v>
      </c>
      <c r="T18" s="246">
        <f t="shared" si="0"/>
        <v>0</v>
      </c>
    </row>
    <row r="19" spans="1:20" ht="21.95" customHeight="1">
      <c r="A19" s="392">
        <v>22109</v>
      </c>
      <c r="B19" s="246" t="s">
        <v>136</v>
      </c>
      <c r="C19" s="246">
        <v>7000000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15000000</v>
      </c>
      <c r="K19" s="246">
        <v>201406000</v>
      </c>
      <c r="L19" s="246">
        <f>13937600+7871000</f>
        <v>21808600</v>
      </c>
      <c r="M19" s="246">
        <v>9756320</v>
      </c>
      <c r="N19" s="246">
        <f t="shared" ref="N19:S20" si="2">M19</f>
        <v>9756320</v>
      </c>
      <c r="O19" s="246">
        <f t="shared" si="2"/>
        <v>9756320</v>
      </c>
      <c r="P19" s="246">
        <f t="shared" si="2"/>
        <v>9756320</v>
      </c>
      <c r="Q19" s="246">
        <f t="shared" si="2"/>
        <v>9756320</v>
      </c>
      <c r="R19" s="246">
        <f t="shared" si="2"/>
        <v>9756320</v>
      </c>
      <c r="S19" s="840">
        <f t="shared" si="2"/>
        <v>9756320</v>
      </c>
      <c r="T19" s="246">
        <f t="shared" si="0"/>
        <v>0</v>
      </c>
    </row>
    <row r="20" spans="1:20" ht="21.95" customHeight="1">
      <c r="A20" s="392">
        <v>22112</v>
      </c>
      <c r="B20" s="246" t="s">
        <v>35</v>
      </c>
      <c r="C20" s="246">
        <v>0</v>
      </c>
      <c r="D20" s="246">
        <v>0</v>
      </c>
      <c r="E20" s="246">
        <v>0</v>
      </c>
      <c r="F20" s="246">
        <v>0</v>
      </c>
      <c r="G20" s="246">
        <v>4000000</v>
      </c>
      <c r="H20" s="246">
        <v>5000000</v>
      </c>
      <c r="I20" s="246">
        <v>14896000</v>
      </c>
      <c r="J20" s="246">
        <v>45000000</v>
      </c>
      <c r="K20" s="246">
        <v>26812800</v>
      </c>
      <c r="L20" s="246">
        <f>33516000+25854400</f>
        <v>59370400</v>
      </c>
      <c r="M20" s="246">
        <v>23461200</v>
      </c>
      <c r="N20" s="246">
        <f t="shared" si="2"/>
        <v>23461200</v>
      </c>
      <c r="O20" s="246">
        <f t="shared" si="2"/>
        <v>23461200</v>
      </c>
      <c r="P20" s="246">
        <v>83461200</v>
      </c>
      <c r="Q20" s="246">
        <v>133461200</v>
      </c>
      <c r="R20" s="246">
        <v>133461200</v>
      </c>
      <c r="S20" s="840">
        <v>133461200</v>
      </c>
      <c r="T20" s="246">
        <f t="shared" si="0"/>
        <v>0</v>
      </c>
    </row>
    <row r="21" spans="1:20" ht="21.95" customHeight="1">
      <c r="A21" s="392">
        <v>22132</v>
      </c>
      <c r="B21" s="246" t="s">
        <v>187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7448000</v>
      </c>
      <c r="L21" s="246">
        <f>250200000+156297280</f>
        <v>406497280</v>
      </c>
      <c r="M21" s="246">
        <v>175140000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46">
        <f t="shared" si="0"/>
        <v>0</v>
      </c>
    </row>
    <row r="22" spans="1:20" ht="21.95" customHeight="1">
      <c r="A22" s="392">
        <v>22134</v>
      </c>
      <c r="B22" s="246" t="s">
        <v>142</v>
      </c>
      <c r="C22" s="246">
        <v>5000000</v>
      </c>
      <c r="D22" s="246">
        <v>5000000</v>
      </c>
      <c r="E22" s="246">
        <v>5000000</v>
      </c>
      <c r="F22" s="246">
        <v>5000000</v>
      </c>
      <c r="G22" s="246">
        <v>8000000</v>
      </c>
      <c r="H22" s="246">
        <v>10000000</v>
      </c>
      <c r="I22" s="246">
        <v>18620000</v>
      </c>
      <c r="J22" s="246">
        <v>48000000</v>
      </c>
      <c r="K22" s="280">
        <f>SUM(K18:K21)</f>
        <v>235666800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840">
        <v>0</v>
      </c>
      <c r="T22" s="246">
        <f t="shared" si="0"/>
        <v>0</v>
      </c>
    </row>
    <row r="23" spans="1:20" ht="21.95" customHeight="1">
      <c r="A23" s="392">
        <v>22136</v>
      </c>
      <c r="B23" s="246" t="s">
        <v>1349</v>
      </c>
      <c r="C23" s="246"/>
      <c r="D23" s="246"/>
      <c r="E23" s="246"/>
      <c r="F23" s="246"/>
      <c r="G23" s="246"/>
      <c r="H23" s="246"/>
      <c r="I23" s="246"/>
      <c r="J23" s="246"/>
      <c r="K23" s="280"/>
      <c r="L23" s="246"/>
      <c r="M23" s="246"/>
      <c r="N23" s="246"/>
      <c r="O23" s="246"/>
      <c r="P23" s="246"/>
      <c r="Q23" s="246"/>
      <c r="R23" s="246"/>
      <c r="S23" s="840">
        <v>200000000</v>
      </c>
      <c r="T23" s="246">
        <f t="shared" si="0"/>
        <v>200000000</v>
      </c>
    </row>
    <row r="24" spans="1:20" ht="21.95" customHeight="1">
      <c r="A24" s="392">
        <v>22137</v>
      </c>
      <c r="B24" s="246" t="s">
        <v>1055</v>
      </c>
      <c r="C24" s="246"/>
      <c r="D24" s="246"/>
      <c r="E24" s="246"/>
      <c r="F24" s="246"/>
      <c r="G24" s="246"/>
      <c r="H24" s="246"/>
      <c r="I24" s="246"/>
      <c r="J24" s="246"/>
      <c r="K24" s="280"/>
      <c r="L24" s="246"/>
      <c r="M24" s="246"/>
      <c r="N24" s="246"/>
      <c r="O24" s="246"/>
      <c r="P24" s="246"/>
      <c r="Q24" s="246">
        <v>150000000</v>
      </c>
      <c r="R24" s="246">
        <v>150000000</v>
      </c>
      <c r="S24" s="840">
        <v>450000000</v>
      </c>
      <c r="T24" s="246">
        <f t="shared" si="0"/>
        <v>300000000</v>
      </c>
    </row>
    <row r="25" spans="1:20" ht="21.95" customHeight="1">
      <c r="A25" s="392">
        <v>22151</v>
      </c>
      <c r="B25" s="246" t="s">
        <v>501</v>
      </c>
      <c r="C25" s="246">
        <v>0</v>
      </c>
      <c r="D25" s="246">
        <v>0</v>
      </c>
      <c r="E25" s="246">
        <v>0</v>
      </c>
      <c r="F25" s="246">
        <v>0</v>
      </c>
      <c r="G25" s="246">
        <v>16000000</v>
      </c>
      <c r="H25" s="246">
        <v>360113000</v>
      </c>
      <c r="I25" s="246">
        <v>208212162</v>
      </c>
      <c r="J25" s="246">
        <v>330000000</v>
      </c>
      <c r="K25" s="246"/>
      <c r="L25" s="246">
        <v>0</v>
      </c>
      <c r="M25" s="246">
        <v>0</v>
      </c>
      <c r="N25" s="246">
        <v>941844000</v>
      </c>
      <c r="O25" s="246">
        <v>941844000</v>
      </c>
      <c r="P25" s="246">
        <v>1041844000</v>
      </c>
      <c r="Q25" s="246">
        <v>1071844000</v>
      </c>
      <c r="R25" s="246">
        <v>1671844000</v>
      </c>
      <c r="S25" s="840">
        <v>2671844000</v>
      </c>
      <c r="T25" s="246">
        <f t="shared" si="0"/>
        <v>1000000000</v>
      </c>
    </row>
    <row r="26" spans="1:20" s="530" customFormat="1" ht="21.95" customHeight="1">
      <c r="A26" s="392"/>
      <c r="B26" s="280" t="s">
        <v>92</v>
      </c>
      <c r="C26" s="246"/>
      <c r="D26" s="246"/>
      <c r="E26" s="246"/>
      <c r="F26" s="246"/>
      <c r="G26" s="246"/>
      <c r="H26" s="246"/>
      <c r="I26" s="246">
        <v>0</v>
      </c>
      <c r="J26" s="246">
        <v>35000000</v>
      </c>
      <c r="K26" s="246"/>
      <c r="L26" s="280">
        <f t="shared" ref="L26:Q26" si="3">SUM(L11:L25)</f>
        <v>746001096</v>
      </c>
      <c r="M26" s="280">
        <f t="shared" si="3"/>
        <v>272818320</v>
      </c>
      <c r="N26" s="280">
        <f t="shared" si="3"/>
        <v>1037176200</v>
      </c>
      <c r="O26" s="280">
        <f t="shared" si="3"/>
        <v>1097176200</v>
      </c>
      <c r="P26" s="280">
        <f t="shared" si="3"/>
        <v>1257176200</v>
      </c>
      <c r="Q26" s="280">
        <f t="shared" si="3"/>
        <v>1507176200</v>
      </c>
      <c r="R26" s="280">
        <f>SUM(R11:R25)</f>
        <v>2157176200</v>
      </c>
      <c r="S26" s="851">
        <f>SUM(S11:S25)</f>
        <v>3657176200</v>
      </c>
      <c r="T26" s="280">
        <f t="shared" si="0"/>
        <v>1500000000</v>
      </c>
    </row>
    <row r="27" spans="1:20" ht="21.95" customHeight="1">
      <c r="A27" s="476">
        <v>2220</v>
      </c>
      <c r="B27" s="280" t="s">
        <v>240</v>
      </c>
      <c r="C27" s="246"/>
      <c r="D27" s="246">
        <v>2577555</v>
      </c>
      <c r="E27" s="246">
        <v>11431000</v>
      </c>
      <c r="F27" s="246">
        <v>11446285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/>
      <c r="M27" s="246"/>
      <c r="N27" s="246"/>
      <c r="O27" s="246"/>
      <c r="P27" s="246"/>
      <c r="Q27" s="246"/>
      <c r="R27" s="246"/>
      <c r="S27" s="840"/>
      <c r="T27" s="246">
        <f t="shared" si="0"/>
        <v>0</v>
      </c>
    </row>
    <row r="28" spans="1:20" ht="21.95" customHeight="1">
      <c r="A28" s="392">
        <v>22201</v>
      </c>
      <c r="B28" s="246" t="s">
        <v>132</v>
      </c>
      <c r="C28" s="280">
        <f>SUM(C16:C25)</f>
        <v>30000000</v>
      </c>
      <c r="D28" s="280">
        <f t="shared" ref="D28:J28" si="4">SUM(D16:D27)</f>
        <v>13577555</v>
      </c>
      <c r="E28" s="280">
        <f t="shared" si="4"/>
        <v>24431000</v>
      </c>
      <c r="F28" s="280">
        <f t="shared" si="4"/>
        <v>32446285</v>
      </c>
      <c r="G28" s="280">
        <f t="shared" si="4"/>
        <v>48217600</v>
      </c>
      <c r="H28" s="280">
        <f t="shared" si="4"/>
        <v>400385000</v>
      </c>
      <c r="I28" s="280">
        <f t="shared" si="4"/>
        <v>279170748</v>
      </c>
      <c r="J28" s="280">
        <f t="shared" si="4"/>
        <v>528000000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840">
        <v>0</v>
      </c>
      <c r="T28" s="246">
        <f t="shared" si="0"/>
        <v>0</v>
      </c>
    </row>
    <row r="29" spans="1:20" ht="21.95" customHeight="1">
      <c r="A29" s="392">
        <v>22202</v>
      </c>
      <c r="B29" s="246" t="s">
        <v>133</v>
      </c>
      <c r="C29" s="280" t="e">
        <f>C28+#REF!+#REF!+#REF!+#REF!</f>
        <v>#REF!</v>
      </c>
      <c r="D29" s="280" t="e">
        <f>D28+#REF!+#REF!+#REF!+#REF!</f>
        <v>#REF!</v>
      </c>
      <c r="E29" s="280" t="e">
        <f>E28+#REF!+#REF!+#REF!+#REF!</f>
        <v>#REF!</v>
      </c>
      <c r="F29" s="280" t="e">
        <f>F28+#REF!+#REF!+#REF!+#REF!</f>
        <v>#REF!</v>
      </c>
      <c r="G29" s="280" t="e">
        <f>G28+#REF!+#REF!+#REF!+#REF!</f>
        <v>#REF!</v>
      </c>
      <c r="H29" s="280" t="e">
        <f>H28+#REF!+#REF!+#REF!+#REF!</f>
        <v>#REF!</v>
      </c>
      <c r="I29" s="280" t="e">
        <f>I28+#REF!+#REF!+#REF!+#REF!</f>
        <v>#REF!</v>
      </c>
      <c r="J29" s="280" t="e">
        <f>J28+#REF!+#REF!+#REF!+#REF!</f>
        <v>#REF!</v>
      </c>
      <c r="K29" s="246">
        <v>2979200</v>
      </c>
      <c r="L29" s="246">
        <f>300000000+310000000</f>
        <v>610000000</v>
      </c>
      <c r="M29" s="246">
        <v>210000000</v>
      </c>
      <c r="N29" s="246">
        <v>341600000</v>
      </c>
      <c r="O29" s="246">
        <v>341600000</v>
      </c>
      <c r="P29" s="246">
        <v>341600000</v>
      </c>
      <c r="Q29" s="246">
        <v>411600000</v>
      </c>
      <c r="R29" s="246">
        <v>411600000</v>
      </c>
      <c r="S29" s="840">
        <v>461600000</v>
      </c>
      <c r="T29" s="246">
        <f t="shared" si="0"/>
        <v>50000000</v>
      </c>
    </row>
    <row r="30" spans="1:20" ht="21.95" customHeight="1">
      <c r="A30" s="392">
        <v>22203</v>
      </c>
      <c r="B30" s="246" t="s">
        <v>127</v>
      </c>
      <c r="C30" s="292"/>
      <c r="D30" s="292"/>
      <c r="E30" s="292"/>
      <c r="F30" s="274">
        <v>0</v>
      </c>
      <c r="G30" s="274" t="s">
        <v>4</v>
      </c>
      <c r="H30" s="274"/>
      <c r="I30" s="274"/>
      <c r="J30" s="274"/>
      <c r="K30" s="274">
        <v>2234400</v>
      </c>
      <c r="L30" s="274">
        <f>23810144+32771200</f>
        <v>56581344</v>
      </c>
      <c r="M30" s="274">
        <v>17267101</v>
      </c>
      <c r="N30" s="274">
        <f t="shared" ref="N30:S31" si="5">M30</f>
        <v>17267101</v>
      </c>
      <c r="O30" s="274">
        <f t="shared" si="5"/>
        <v>17267101</v>
      </c>
      <c r="P30" s="274">
        <f t="shared" si="5"/>
        <v>17267101</v>
      </c>
      <c r="Q30" s="274">
        <f t="shared" si="5"/>
        <v>17267101</v>
      </c>
      <c r="R30" s="274">
        <v>67267101</v>
      </c>
      <c r="S30" s="853">
        <v>67267101</v>
      </c>
      <c r="T30" s="246">
        <f t="shared" si="0"/>
        <v>0</v>
      </c>
    </row>
    <row r="31" spans="1:20" ht="21.95" customHeight="1">
      <c r="A31" s="392">
        <v>22204</v>
      </c>
      <c r="B31" s="246" t="s">
        <v>128</v>
      </c>
      <c r="C31" s="292"/>
      <c r="D31" s="274">
        <v>0</v>
      </c>
      <c r="E31" s="274"/>
      <c r="F31" s="274"/>
      <c r="G31" s="274"/>
      <c r="H31" s="274"/>
      <c r="I31" s="274"/>
      <c r="J31" s="274"/>
      <c r="K31" s="279">
        <f>SUM(K27:K30)</f>
        <v>5213600</v>
      </c>
      <c r="L31" s="274">
        <f>22344000+7448000</f>
        <v>29792000</v>
      </c>
      <c r="M31" s="274">
        <v>15640800</v>
      </c>
      <c r="N31" s="274">
        <f t="shared" si="5"/>
        <v>15640800</v>
      </c>
      <c r="O31" s="274">
        <f t="shared" si="5"/>
        <v>15640800</v>
      </c>
      <c r="P31" s="274">
        <f t="shared" si="5"/>
        <v>15640800</v>
      </c>
      <c r="Q31" s="274">
        <f t="shared" si="5"/>
        <v>15640800</v>
      </c>
      <c r="R31" s="274">
        <f t="shared" si="5"/>
        <v>15640800</v>
      </c>
      <c r="S31" s="853">
        <f t="shared" si="5"/>
        <v>15640800</v>
      </c>
      <c r="T31" s="246">
        <f t="shared" si="0"/>
        <v>0</v>
      </c>
    </row>
    <row r="32" spans="1:20" ht="21.95" customHeight="1">
      <c r="A32" s="392">
        <v>22216</v>
      </c>
      <c r="B32" s="246" t="s">
        <v>433</v>
      </c>
      <c r="C32" s="292"/>
      <c r="D32" s="274"/>
      <c r="E32" s="274"/>
      <c r="F32" s="274"/>
      <c r="G32" s="274"/>
      <c r="H32" s="274"/>
      <c r="I32" s="274"/>
      <c r="J32" s="274"/>
      <c r="K32" s="279"/>
      <c r="L32" s="274">
        <v>0</v>
      </c>
      <c r="M32" s="274">
        <v>200000000</v>
      </c>
      <c r="N32" s="274">
        <v>200000000</v>
      </c>
      <c r="O32" s="274">
        <v>300000000</v>
      </c>
      <c r="P32" s="274">
        <v>400000000</v>
      </c>
      <c r="Q32" s="274">
        <v>450000000</v>
      </c>
      <c r="R32" s="274">
        <v>900000000</v>
      </c>
      <c r="S32" s="853">
        <v>1200000000</v>
      </c>
      <c r="T32" s="246">
        <f t="shared" si="0"/>
        <v>300000000</v>
      </c>
    </row>
    <row r="33" spans="1:20" ht="21.95" customHeight="1">
      <c r="A33" s="392"/>
      <c r="B33" s="280" t="s">
        <v>92</v>
      </c>
      <c r="C33" s="292"/>
      <c r="D33" s="292"/>
      <c r="E33" s="292"/>
      <c r="F33" s="292"/>
      <c r="G33" s="292"/>
      <c r="H33" s="292"/>
      <c r="I33" s="292"/>
      <c r="J33" s="292"/>
      <c r="K33" s="246">
        <v>0</v>
      </c>
      <c r="L33" s="280">
        <f>SUM(L28:L31)</f>
        <v>696373344</v>
      </c>
      <c r="M33" s="280">
        <f t="shared" ref="M33:P33" si="6">SUM(M28:M32)</f>
        <v>442907901</v>
      </c>
      <c r="N33" s="280">
        <f t="shared" si="6"/>
        <v>574507901</v>
      </c>
      <c r="O33" s="280">
        <f t="shared" si="6"/>
        <v>674507901</v>
      </c>
      <c r="P33" s="280">
        <f t="shared" si="6"/>
        <v>774507901</v>
      </c>
      <c r="Q33" s="280">
        <f>SUM(Q28:Q32)</f>
        <v>894507901</v>
      </c>
      <c r="R33" s="280">
        <f>SUM(R28:R32)</f>
        <v>1394507901</v>
      </c>
      <c r="S33" s="851">
        <f>SUM(S28:S32)</f>
        <v>1744507901</v>
      </c>
      <c r="T33" s="280">
        <f t="shared" si="0"/>
        <v>350000000</v>
      </c>
    </row>
    <row r="34" spans="1:20" ht="21.95" customHeight="1">
      <c r="A34" s="476">
        <v>2230</v>
      </c>
      <c r="B34" s="280" t="s">
        <v>130</v>
      </c>
      <c r="C34" s="292"/>
      <c r="D34" s="292"/>
      <c r="E34" s="292"/>
      <c r="F34" s="292"/>
      <c r="G34" s="292"/>
      <c r="H34" s="292"/>
      <c r="I34" s="292"/>
      <c r="J34" s="292"/>
      <c r="K34" s="246">
        <v>4468800</v>
      </c>
      <c r="L34" s="246"/>
      <c r="M34" s="246"/>
      <c r="N34" s="246"/>
      <c r="O34" s="246"/>
      <c r="P34" s="246"/>
      <c r="Q34" s="246"/>
      <c r="R34" s="246"/>
      <c r="S34" s="840"/>
      <c r="T34" s="246">
        <f t="shared" si="0"/>
        <v>0</v>
      </c>
    </row>
    <row r="35" spans="1:20" ht="21.95" customHeight="1">
      <c r="A35" s="392">
        <v>22301</v>
      </c>
      <c r="B35" s="246" t="s">
        <v>49</v>
      </c>
      <c r="C35" s="292"/>
      <c r="D35" s="292"/>
      <c r="E35" s="292"/>
      <c r="F35" s="292"/>
      <c r="G35" s="292"/>
      <c r="H35" s="292"/>
      <c r="I35" s="292"/>
      <c r="J35" s="292"/>
      <c r="K35" s="291">
        <f>SUM(K33:K34)</f>
        <v>4468800</v>
      </c>
      <c r="L35" s="281">
        <f>79792000+79584000</f>
        <v>159376000</v>
      </c>
      <c r="M35" s="281">
        <v>55854400</v>
      </c>
      <c r="N35" s="281">
        <f>M35</f>
        <v>55854400</v>
      </c>
      <c r="O35" s="281">
        <f>N35</f>
        <v>55854400</v>
      </c>
      <c r="P35" s="281">
        <v>155854400</v>
      </c>
      <c r="Q35" s="281">
        <v>155854400</v>
      </c>
      <c r="R35" s="281">
        <v>205854400</v>
      </c>
      <c r="S35" s="887">
        <v>235854400</v>
      </c>
      <c r="T35" s="246">
        <f t="shared" si="0"/>
        <v>30000000</v>
      </c>
    </row>
    <row r="36" spans="1:20" ht="21.95" customHeight="1">
      <c r="A36" s="392">
        <v>22302</v>
      </c>
      <c r="B36" s="246" t="s">
        <v>249</v>
      </c>
      <c r="C36" s="292"/>
      <c r="D36" s="292"/>
      <c r="E36" s="292"/>
      <c r="F36" s="292"/>
      <c r="G36" s="292"/>
      <c r="H36" s="292"/>
      <c r="I36" s="292"/>
      <c r="J36" s="292"/>
      <c r="K36" s="291" t="e">
        <f>K35+K31+K22+K16+#REF!</f>
        <v>#REF!</v>
      </c>
      <c r="L36" s="281">
        <v>2979200</v>
      </c>
      <c r="M36" s="281" t="s">
        <v>4</v>
      </c>
      <c r="N36" s="281">
        <v>0</v>
      </c>
      <c r="O36" s="281">
        <v>0</v>
      </c>
      <c r="P36" s="281">
        <v>0</v>
      </c>
      <c r="Q36" s="281">
        <v>0</v>
      </c>
      <c r="R36" s="281">
        <v>0</v>
      </c>
      <c r="S36" s="887">
        <v>0</v>
      </c>
      <c r="T36" s="246">
        <f t="shared" si="0"/>
        <v>0</v>
      </c>
    </row>
    <row r="37" spans="1:20" ht="21.95" customHeight="1">
      <c r="A37" s="392">
        <v>22303</v>
      </c>
      <c r="B37" s="246" t="s">
        <v>273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887">
        <v>0</v>
      </c>
      <c r="T37" s="246">
        <f t="shared" si="0"/>
        <v>0</v>
      </c>
    </row>
    <row r="38" spans="1:20" ht="21.95" customHeight="1">
      <c r="A38" s="392">
        <v>22313</v>
      </c>
      <c r="B38" s="246" t="s">
        <v>251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81">
        <v>2979200</v>
      </c>
      <c r="M38" s="281" t="s">
        <v>4</v>
      </c>
      <c r="N38" s="281">
        <v>0</v>
      </c>
      <c r="O38" s="281">
        <v>0</v>
      </c>
      <c r="P38" s="281">
        <v>0</v>
      </c>
      <c r="Q38" s="281">
        <v>0</v>
      </c>
      <c r="R38" s="281">
        <v>0</v>
      </c>
      <c r="S38" s="887">
        <v>0</v>
      </c>
      <c r="T38" s="246">
        <f t="shared" si="0"/>
        <v>0</v>
      </c>
    </row>
    <row r="39" spans="1:20" ht="21.95" customHeight="1">
      <c r="A39" s="392"/>
      <c r="B39" s="280" t="s">
        <v>92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84">
        <f t="shared" ref="L39:P39" si="7">SUM(L35:L38)</f>
        <v>165334400</v>
      </c>
      <c r="M39" s="284">
        <f t="shared" si="7"/>
        <v>55854400</v>
      </c>
      <c r="N39" s="284">
        <f t="shared" si="7"/>
        <v>55854400</v>
      </c>
      <c r="O39" s="284">
        <f t="shared" si="7"/>
        <v>55854400</v>
      </c>
      <c r="P39" s="284">
        <f t="shared" si="7"/>
        <v>155854400</v>
      </c>
      <c r="Q39" s="284">
        <f>SUM(Q35:Q38)</f>
        <v>155854400</v>
      </c>
      <c r="R39" s="284">
        <f>SUM(R35:R38)</f>
        <v>205854400</v>
      </c>
      <c r="S39" s="888">
        <f>SUM(S35:S38)</f>
        <v>235854400</v>
      </c>
      <c r="T39" s="280">
        <f t="shared" si="0"/>
        <v>30000000</v>
      </c>
    </row>
    <row r="40" spans="1:20" s="530" customFormat="1" ht="21.95" customHeight="1">
      <c r="A40" s="476">
        <v>270</v>
      </c>
      <c r="B40" s="280" t="s">
        <v>253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81"/>
      <c r="M40" s="281"/>
      <c r="N40" s="281"/>
      <c r="O40" s="281"/>
      <c r="P40" s="281"/>
      <c r="Q40" s="281"/>
      <c r="R40" s="281"/>
      <c r="S40" s="887"/>
      <c r="T40" s="246">
        <f t="shared" si="0"/>
        <v>0</v>
      </c>
    </row>
    <row r="41" spans="1:20" s="530" customFormat="1" ht="21.95" customHeight="1">
      <c r="A41" s="476">
        <v>2710</v>
      </c>
      <c r="B41" s="280" t="s">
        <v>252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81"/>
      <c r="M41" s="281"/>
      <c r="N41" s="281"/>
      <c r="O41" s="281"/>
      <c r="P41" s="281"/>
      <c r="Q41" s="281"/>
      <c r="R41" s="281"/>
      <c r="S41" s="887"/>
      <c r="T41" s="246">
        <f t="shared" si="0"/>
        <v>0</v>
      </c>
    </row>
    <row r="42" spans="1:20" ht="21.95" customHeight="1">
      <c r="A42" s="392">
        <v>27601</v>
      </c>
      <c r="B42" s="246" t="s">
        <v>264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81">
        <f>7448000+16896000</f>
        <v>24344000</v>
      </c>
      <c r="M42" s="281">
        <v>5213600</v>
      </c>
      <c r="N42" s="281">
        <v>0</v>
      </c>
      <c r="O42" s="281">
        <v>0</v>
      </c>
      <c r="P42" s="281">
        <v>70000000</v>
      </c>
      <c r="Q42" s="281">
        <v>15000000</v>
      </c>
      <c r="R42" s="281">
        <v>15000000</v>
      </c>
      <c r="S42" s="887">
        <v>15000000</v>
      </c>
      <c r="T42" s="246">
        <f t="shared" si="0"/>
        <v>0</v>
      </c>
    </row>
    <row r="43" spans="1:20" ht="21.95" customHeight="1">
      <c r="A43" s="392">
        <v>27402</v>
      </c>
      <c r="B43" s="246" t="s">
        <v>265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81">
        <v>0</v>
      </c>
      <c r="M43" s="281">
        <v>0</v>
      </c>
      <c r="N43" s="281">
        <v>0</v>
      </c>
      <c r="O43" s="281">
        <v>120000000</v>
      </c>
      <c r="P43" s="281">
        <v>120000000</v>
      </c>
      <c r="Q43" s="281">
        <v>150000000</v>
      </c>
      <c r="R43" s="281">
        <v>0</v>
      </c>
      <c r="S43" s="887">
        <v>0</v>
      </c>
      <c r="T43" s="246">
        <f t="shared" si="0"/>
        <v>0</v>
      </c>
    </row>
    <row r="44" spans="1:20" ht="21.95" customHeight="1">
      <c r="A44" s="392">
        <v>27502</v>
      </c>
      <c r="B44" s="246" t="s">
        <v>148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81">
        <f>3724000+2234400</f>
        <v>5958400</v>
      </c>
      <c r="M44" s="281">
        <v>2606800</v>
      </c>
      <c r="N44" s="281">
        <v>0</v>
      </c>
      <c r="O44" s="281">
        <v>0</v>
      </c>
      <c r="P44" s="281">
        <v>0</v>
      </c>
      <c r="Q44" s="281">
        <v>0</v>
      </c>
      <c r="R44" s="281">
        <v>0</v>
      </c>
      <c r="S44" s="887">
        <v>0</v>
      </c>
      <c r="T44" s="246">
        <f t="shared" si="0"/>
        <v>0</v>
      </c>
    </row>
    <row r="45" spans="1:20" ht="21.95" customHeight="1">
      <c r="A45" s="392">
        <v>27604</v>
      </c>
      <c r="B45" s="246" t="s">
        <v>149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81">
        <v>4468800</v>
      </c>
      <c r="M45" s="281" t="s">
        <v>4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887">
        <v>0</v>
      </c>
      <c r="T45" s="246">
        <f t="shared" si="0"/>
        <v>0</v>
      </c>
    </row>
    <row r="46" spans="1:20" ht="21.95" customHeight="1">
      <c r="A46" s="392">
        <v>27608</v>
      </c>
      <c r="B46" s="246" t="s">
        <v>1220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81"/>
      <c r="M46" s="281"/>
      <c r="N46" s="281"/>
      <c r="O46" s="281"/>
      <c r="P46" s="281"/>
      <c r="Q46" s="281">
        <v>0</v>
      </c>
      <c r="R46" s="281">
        <v>450000000</v>
      </c>
      <c r="S46" s="887">
        <v>300000000</v>
      </c>
      <c r="T46" s="246">
        <f t="shared" si="0"/>
        <v>-150000000</v>
      </c>
    </row>
    <row r="47" spans="1:20" ht="21.95" customHeight="1">
      <c r="A47" s="392"/>
      <c r="B47" s="280" t="s">
        <v>92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84">
        <f t="shared" ref="L47:P47" si="8">SUM(L42:L45)</f>
        <v>34771200</v>
      </c>
      <c r="M47" s="284">
        <f t="shared" si="8"/>
        <v>7820400</v>
      </c>
      <c r="N47" s="284">
        <f t="shared" si="8"/>
        <v>0</v>
      </c>
      <c r="O47" s="284">
        <f t="shared" si="8"/>
        <v>120000000</v>
      </c>
      <c r="P47" s="284">
        <f t="shared" si="8"/>
        <v>190000000</v>
      </c>
      <c r="Q47" s="284">
        <f>SUM(Q42:Q46)</f>
        <v>165000000</v>
      </c>
      <c r="R47" s="284">
        <f>SUM(R42:R46)</f>
        <v>465000000</v>
      </c>
      <c r="S47" s="888">
        <f>SUM(S42:S46)</f>
        <v>315000000</v>
      </c>
      <c r="T47" s="280">
        <f t="shared" si="0"/>
        <v>-150000000</v>
      </c>
    </row>
    <row r="48" spans="1:20" ht="21.95" customHeight="1">
      <c r="A48" s="476">
        <v>2720</v>
      </c>
      <c r="B48" s="280" t="s">
        <v>502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84"/>
      <c r="M48" s="284"/>
      <c r="N48" s="284"/>
      <c r="O48" s="284"/>
      <c r="P48" s="284"/>
      <c r="Q48" s="284"/>
      <c r="R48" s="284"/>
      <c r="S48" s="888"/>
      <c r="T48" s="246">
        <f t="shared" si="0"/>
        <v>0</v>
      </c>
    </row>
    <row r="49" spans="1:20" ht="21.95" customHeight="1">
      <c r="A49" s="392">
        <v>27202</v>
      </c>
      <c r="B49" s="246" t="s">
        <v>1348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84"/>
      <c r="M49" s="284">
        <v>0</v>
      </c>
      <c r="N49" s="281">
        <v>855056000</v>
      </c>
      <c r="O49" s="281">
        <v>1200000000</v>
      </c>
      <c r="P49" s="281">
        <v>0</v>
      </c>
      <c r="Q49" s="281">
        <v>0</v>
      </c>
      <c r="R49" s="281">
        <v>0</v>
      </c>
      <c r="S49" s="887">
        <v>1800000000</v>
      </c>
      <c r="T49" s="246">
        <f t="shared" si="0"/>
        <v>1800000000</v>
      </c>
    </row>
    <row r="50" spans="1:20" ht="21.95" customHeight="1">
      <c r="A50" s="392"/>
      <c r="B50" s="280" t="s">
        <v>92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84"/>
      <c r="M50" s="284"/>
      <c r="N50" s="284">
        <f t="shared" ref="N50:S50" si="9">SUM(N49)</f>
        <v>855056000</v>
      </c>
      <c r="O50" s="284">
        <f t="shared" si="9"/>
        <v>1200000000</v>
      </c>
      <c r="P50" s="284">
        <f t="shared" si="9"/>
        <v>0</v>
      </c>
      <c r="Q50" s="284">
        <f t="shared" si="9"/>
        <v>0</v>
      </c>
      <c r="R50" s="284">
        <f t="shared" si="9"/>
        <v>0</v>
      </c>
      <c r="S50" s="888">
        <f t="shared" si="9"/>
        <v>1800000000</v>
      </c>
      <c r="T50" s="280">
        <f t="shared" si="0"/>
        <v>1800000000</v>
      </c>
    </row>
    <row r="51" spans="1:20" ht="21.95" customHeight="1">
      <c r="A51" s="476">
        <v>2630</v>
      </c>
      <c r="B51" s="280" t="s">
        <v>597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84"/>
      <c r="M51" s="284"/>
      <c r="N51" s="284"/>
      <c r="O51" s="284"/>
      <c r="P51" s="284"/>
      <c r="Q51" s="284"/>
      <c r="R51" s="284"/>
      <c r="S51" s="888"/>
      <c r="T51" s="280">
        <f t="shared" si="0"/>
        <v>0</v>
      </c>
    </row>
    <row r="52" spans="1:20" ht="21.95" customHeight="1">
      <c r="A52" s="392">
        <v>26313</v>
      </c>
      <c r="B52" s="246" t="s">
        <v>1256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84"/>
      <c r="M52" s="284"/>
      <c r="N52" s="281">
        <v>60000000</v>
      </c>
      <c r="O52" s="281">
        <v>60000000</v>
      </c>
      <c r="P52" s="281">
        <v>60000000</v>
      </c>
      <c r="Q52" s="281">
        <v>100000000</v>
      </c>
      <c r="R52" s="281">
        <v>100000000</v>
      </c>
      <c r="S52" s="887">
        <v>100000000</v>
      </c>
      <c r="T52" s="280">
        <f t="shared" si="0"/>
        <v>0</v>
      </c>
    </row>
    <row r="53" spans="1:20" ht="21.95" customHeight="1">
      <c r="A53" s="392"/>
      <c r="B53" s="280" t="s">
        <v>92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84"/>
      <c r="M53" s="284"/>
      <c r="N53" s="284">
        <f t="shared" ref="N53:S53" si="10">SUM(N52)</f>
        <v>60000000</v>
      </c>
      <c r="O53" s="284">
        <f t="shared" si="10"/>
        <v>60000000</v>
      </c>
      <c r="P53" s="284">
        <f t="shared" si="10"/>
        <v>60000000</v>
      </c>
      <c r="Q53" s="284">
        <f t="shared" si="10"/>
        <v>100000000</v>
      </c>
      <c r="R53" s="284">
        <f t="shared" si="10"/>
        <v>100000000</v>
      </c>
      <c r="S53" s="888">
        <f t="shared" si="10"/>
        <v>100000000</v>
      </c>
      <c r="T53" s="280">
        <f t="shared" si="0"/>
        <v>0</v>
      </c>
    </row>
    <row r="54" spans="1:20" ht="21.95" customHeight="1">
      <c r="A54" s="476">
        <v>2810</v>
      </c>
      <c r="B54" s="280" t="s">
        <v>1327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84"/>
      <c r="M54" s="284"/>
      <c r="N54" s="284"/>
      <c r="O54" s="284"/>
      <c r="P54" s="284"/>
      <c r="Q54" s="284"/>
      <c r="R54" s="284"/>
      <c r="S54" s="888"/>
      <c r="T54" s="280">
        <f t="shared" si="0"/>
        <v>0</v>
      </c>
    </row>
    <row r="55" spans="1:20" ht="21.95" customHeight="1">
      <c r="A55" s="392">
        <v>28102</v>
      </c>
      <c r="B55" s="280" t="s">
        <v>559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84"/>
      <c r="M55" s="284"/>
      <c r="N55" s="284"/>
      <c r="O55" s="284"/>
      <c r="P55" s="284"/>
      <c r="Q55" s="284"/>
      <c r="R55" s="284">
        <v>0</v>
      </c>
      <c r="S55" s="887">
        <v>200000000</v>
      </c>
      <c r="T55" s="280">
        <f t="shared" si="0"/>
        <v>200000000</v>
      </c>
    </row>
    <row r="56" spans="1:20" ht="31.5" customHeight="1">
      <c r="A56" s="476"/>
      <c r="B56" s="280" t="s">
        <v>92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84"/>
      <c r="M56" s="284"/>
      <c r="N56" s="284"/>
      <c r="O56" s="284"/>
      <c r="P56" s="284"/>
      <c r="Q56" s="284"/>
      <c r="R56" s="284">
        <v>0</v>
      </c>
      <c r="S56" s="888">
        <f>SUM(S55)</f>
        <v>200000000</v>
      </c>
      <c r="T56" s="280">
        <f t="shared" si="0"/>
        <v>200000000</v>
      </c>
    </row>
    <row r="57" spans="1:20" ht="38.25" customHeight="1">
      <c r="A57" s="392"/>
      <c r="B57" s="280" t="s">
        <v>37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84">
        <f>L47+L39+L33+L26+L8</f>
        <v>3177300840</v>
      </c>
      <c r="M57" s="284">
        <f>M47+M39+M33+M26+M8</f>
        <v>2386681021</v>
      </c>
      <c r="N57" s="284">
        <f>N50+N39+N33+N26+N8+N53</f>
        <v>4605232901</v>
      </c>
      <c r="O57" s="284">
        <f>O50+O39+O33+O26+O8+O53+O47</f>
        <v>5644496101</v>
      </c>
      <c r="P57" s="284">
        <f>P50+P39+P33+P26+P8+P53+P47</f>
        <v>6103620101</v>
      </c>
      <c r="Q57" s="284">
        <f>Q50+Q39+Q33+Q26+Q8+Q53+Q47</f>
        <v>6888312261</v>
      </c>
      <c r="R57" s="284">
        <f>R50+R39+R33+R26+R8+R53+R47</f>
        <v>8621076741</v>
      </c>
      <c r="S57" s="888">
        <f>S50+S39+S33+S26+S8+S53+S47+S56</f>
        <v>14312704645</v>
      </c>
      <c r="T57" s="280">
        <f>S57-R57</f>
        <v>5691627904</v>
      </c>
    </row>
  </sheetData>
  <phoneticPr fontId="0" type="noConversion"/>
  <printOptions gridLines="1"/>
  <pageMargins left="0.59" right="0.25" top="0.89" bottom="0.73" header="0.44" footer="0.44"/>
  <pageSetup scale="53" orientation="portrait" r:id="rId1"/>
  <headerFooter alignWithMargins="0">
    <oddHeader>&amp;C&amp;"Algerian,Bold"&amp;36WASAARADDA XANAANADDA XOOLAHA</oddHeader>
    <oddFooter>&amp;R&amp;"Times New Roman,Bold"&amp;14 37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topLeftCell="A34" zoomScale="61" zoomScaleSheetLayoutView="61" zoomScalePageLayoutView="70" workbookViewId="0">
      <selection activeCell="S50" sqref="S50"/>
    </sheetView>
  </sheetViews>
  <sheetFormatPr defaultRowHeight="24.95" customHeight="1"/>
  <cols>
    <col min="1" max="1" width="18.1640625" style="565" bestFit="1" customWidth="1"/>
    <col min="2" max="2" width="78.1640625" style="399" customWidth="1"/>
    <col min="3" max="3" width="0.1640625" style="399" hidden="1" customWidth="1"/>
    <col min="4" max="10" width="9.33203125" style="399" hidden="1" customWidth="1"/>
    <col min="11" max="11" width="2.1640625" style="399" hidden="1" customWidth="1"/>
    <col min="12" max="12" width="17.1640625" style="399" hidden="1" customWidth="1"/>
    <col min="13" max="13" width="24" style="399" hidden="1" customWidth="1"/>
    <col min="14" max="14" width="27.6640625" style="399" hidden="1" customWidth="1"/>
    <col min="15" max="15" width="0.1640625" style="399" hidden="1" customWidth="1"/>
    <col min="16" max="16" width="27.5" style="399" hidden="1" customWidth="1"/>
    <col min="17" max="17" width="28.83203125" style="399" hidden="1" customWidth="1"/>
    <col min="18" max="20" width="28.83203125" style="399" customWidth="1"/>
    <col min="21" max="16384" width="9.33203125" style="399"/>
  </cols>
  <sheetData>
    <row r="1" spans="1:20" ht="24.95" customHeight="1">
      <c r="A1" s="544" t="s">
        <v>39</v>
      </c>
      <c r="B1" s="545" t="s">
        <v>1011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ht="24.95" customHeight="1">
      <c r="A2" s="544" t="s">
        <v>25</v>
      </c>
      <c r="B2" s="478" t="s">
        <v>26</v>
      </c>
      <c r="C2" s="292" t="s">
        <v>38</v>
      </c>
      <c r="D2" s="597" t="s">
        <v>2</v>
      </c>
      <c r="E2" s="597" t="s">
        <v>43</v>
      </c>
      <c r="F2" s="597" t="s">
        <v>46</v>
      </c>
      <c r="G2" s="597" t="s">
        <v>55</v>
      </c>
      <c r="H2" s="594" t="s">
        <v>62</v>
      </c>
      <c r="I2" s="482" t="s">
        <v>101</v>
      </c>
      <c r="J2" s="482" t="s">
        <v>107</v>
      </c>
      <c r="K2" s="482" t="s">
        <v>118</v>
      </c>
      <c r="L2" s="482" t="s">
        <v>151</v>
      </c>
      <c r="M2" s="482" t="s">
        <v>257</v>
      </c>
      <c r="N2" s="482" t="s">
        <v>441</v>
      </c>
      <c r="O2" s="482" t="s">
        <v>814</v>
      </c>
      <c r="P2" s="482" t="s">
        <v>874</v>
      </c>
      <c r="Q2" s="482" t="s">
        <v>973</v>
      </c>
      <c r="R2" s="482" t="s">
        <v>1160</v>
      </c>
      <c r="S2" s="482" t="s">
        <v>1320</v>
      </c>
      <c r="T2" s="482" t="s">
        <v>56</v>
      </c>
    </row>
    <row r="3" spans="1:20" ht="24.95" customHeight="1">
      <c r="A3" s="476">
        <v>210</v>
      </c>
      <c r="B3" s="280" t="s">
        <v>137</v>
      </c>
      <c r="C3" s="292"/>
      <c r="D3" s="292"/>
      <c r="E3" s="292"/>
      <c r="F3" s="292"/>
      <c r="G3" s="292"/>
      <c r="H3" s="292"/>
      <c r="I3" s="292"/>
      <c r="J3" s="292"/>
      <c r="K3" s="292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24.95" customHeight="1">
      <c r="A4" s="476">
        <v>2110</v>
      </c>
      <c r="B4" s="280" t="s">
        <v>213</v>
      </c>
      <c r="C4" s="246"/>
      <c r="D4" s="246"/>
      <c r="E4" s="246"/>
      <c r="F4" s="246"/>
      <c r="G4" s="246"/>
      <c r="H4" s="246"/>
      <c r="I4" s="246"/>
      <c r="J4" s="246"/>
      <c r="K4" s="246"/>
      <c r="L4" s="282"/>
      <c r="M4" s="281"/>
      <c r="N4" s="281"/>
      <c r="O4" s="281"/>
      <c r="P4" s="281"/>
      <c r="Q4" s="281"/>
      <c r="R4" s="281"/>
      <c r="S4" s="281"/>
      <c r="T4" s="281"/>
    </row>
    <row r="5" spans="1:20" ht="24.95" customHeight="1">
      <c r="A5" s="392">
        <v>21101</v>
      </c>
      <c r="B5" s="246" t="s">
        <v>28</v>
      </c>
      <c r="C5" s="246"/>
      <c r="D5" s="246"/>
      <c r="E5" s="246"/>
      <c r="F5" s="246"/>
      <c r="G5" s="246"/>
      <c r="H5" s="246"/>
      <c r="I5" s="246"/>
      <c r="J5" s="246"/>
      <c r="K5" s="246"/>
      <c r="L5" s="282">
        <v>458521200</v>
      </c>
      <c r="M5" s="282">
        <f>shaqaalaha2011!H35+36000000+262785600</f>
        <v>734400000</v>
      </c>
      <c r="N5" s="282">
        <v>705868800</v>
      </c>
      <c r="O5" s="282">
        <v>696508800</v>
      </c>
      <c r="P5" s="282">
        <v>910391040</v>
      </c>
      <c r="Q5" s="282">
        <v>1173631680</v>
      </c>
      <c r="R5" s="246">
        <v>1320134400</v>
      </c>
      <c r="S5" s="246">
        <v>1741094784</v>
      </c>
      <c r="T5" s="282">
        <f>S5-R5</f>
        <v>420960384</v>
      </c>
    </row>
    <row r="6" spans="1:20" ht="24.95" customHeight="1">
      <c r="A6" s="392">
        <v>21101</v>
      </c>
      <c r="B6" s="246" t="s">
        <v>1369</v>
      </c>
      <c r="C6" s="246"/>
      <c r="D6" s="246"/>
      <c r="E6" s="246"/>
      <c r="F6" s="246"/>
      <c r="G6" s="246"/>
      <c r="H6" s="246"/>
      <c r="I6" s="246"/>
      <c r="J6" s="246"/>
      <c r="K6" s="246"/>
      <c r="L6" s="282"/>
      <c r="M6" s="282"/>
      <c r="N6" s="282"/>
      <c r="O6" s="282"/>
      <c r="P6" s="282"/>
      <c r="Q6" s="282"/>
      <c r="R6" s="246">
        <v>0</v>
      </c>
      <c r="S6" s="246">
        <v>144102816</v>
      </c>
      <c r="T6" s="282">
        <f>S6-R6</f>
        <v>144102816</v>
      </c>
    </row>
    <row r="7" spans="1:20" ht="24.95" customHeight="1">
      <c r="A7" s="392">
        <v>21102</v>
      </c>
      <c r="B7" s="246" t="s">
        <v>554</v>
      </c>
      <c r="C7" s="246"/>
      <c r="D7" s="246"/>
      <c r="E7" s="246"/>
      <c r="F7" s="246"/>
      <c r="G7" s="246"/>
      <c r="H7" s="246"/>
      <c r="I7" s="246"/>
      <c r="J7" s="246"/>
      <c r="K7" s="246"/>
      <c r="L7" s="282">
        <v>0</v>
      </c>
      <c r="M7" s="282">
        <v>0</v>
      </c>
      <c r="N7" s="282">
        <v>97200000</v>
      </c>
      <c r="O7" s="282">
        <v>97200000</v>
      </c>
      <c r="P7" s="282">
        <v>97200000</v>
      </c>
      <c r="Q7" s="282">
        <v>157200000</v>
      </c>
      <c r="R7" s="282">
        <v>254400000</v>
      </c>
      <c r="S7" s="282">
        <v>254400000</v>
      </c>
      <c r="T7" s="282">
        <f t="shared" ref="T7:T50" si="0">S7-R7</f>
        <v>0</v>
      </c>
    </row>
    <row r="8" spans="1:20" ht="24.95" customHeight="1">
      <c r="A8" s="392">
        <v>21103</v>
      </c>
      <c r="B8" s="246" t="s">
        <v>30</v>
      </c>
      <c r="C8" s="246"/>
      <c r="D8" s="246"/>
      <c r="E8" s="246"/>
      <c r="F8" s="246"/>
      <c r="G8" s="246"/>
      <c r="H8" s="246"/>
      <c r="I8" s="246"/>
      <c r="J8" s="246"/>
      <c r="K8" s="246"/>
      <c r="L8" s="282">
        <v>79200000</v>
      </c>
      <c r="M8" s="282">
        <f>57600000</f>
        <v>57600000</v>
      </c>
      <c r="N8" s="282">
        <v>86400000</v>
      </c>
      <c r="O8" s="282">
        <v>158400000</v>
      </c>
      <c r="P8" s="282">
        <v>198000000</v>
      </c>
      <c r="Q8" s="282">
        <v>270000000</v>
      </c>
      <c r="R8" s="282">
        <v>342000000</v>
      </c>
      <c r="S8" s="282">
        <v>378000000</v>
      </c>
      <c r="T8" s="282">
        <f t="shared" si="0"/>
        <v>36000000</v>
      </c>
    </row>
    <row r="9" spans="1:20" ht="24.95" customHeight="1">
      <c r="A9" s="392">
        <v>21105</v>
      </c>
      <c r="B9" s="246" t="s">
        <v>561</v>
      </c>
      <c r="C9" s="246"/>
      <c r="D9" s="246"/>
      <c r="E9" s="246"/>
      <c r="F9" s="246"/>
      <c r="G9" s="246"/>
      <c r="H9" s="246"/>
      <c r="I9" s="246"/>
      <c r="J9" s="246"/>
      <c r="K9" s="246"/>
      <c r="L9" s="282"/>
      <c r="M9" s="282">
        <v>27600000</v>
      </c>
      <c r="N9" s="282">
        <v>24000000</v>
      </c>
      <c r="O9" s="282">
        <v>24000000</v>
      </c>
      <c r="P9" s="282">
        <v>42000000</v>
      </c>
      <c r="Q9" s="282">
        <v>42000000</v>
      </c>
      <c r="R9" s="282">
        <v>90000000</v>
      </c>
      <c r="S9" s="282">
        <v>126000000</v>
      </c>
      <c r="T9" s="282">
        <f t="shared" si="0"/>
        <v>36000000</v>
      </c>
    </row>
    <row r="10" spans="1:20" ht="24.95" customHeight="1">
      <c r="A10" s="392"/>
      <c r="B10" s="280" t="s">
        <v>92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83">
        <f>SUM(L5:L8)</f>
        <v>537721200</v>
      </c>
      <c r="M10" s="283">
        <f>M9+M8+M5+M7</f>
        <v>819600000</v>
      </c>
      <c r="N10" s="283">
        <f>N9+N8+N5+N7</f>
        <v>913468800</v>
      </c>
      <c r="O10" s="283">
        <f>SUM(O5:O9)</f>
        <v>976108800</v>
      </c>
      <c r="P10" s="283">
        <f>SUM(P5:P9)</f>
        <v>1247591040</v>
      </c>
      <c r="Q10" s="283">
        <f>SUM(Q5:Q9)</f>
        <v>1642831680</v>
      </c>
      <c r="R10" s="283">
        <f>SUM(R5:R9)</f>
        <v>2006534400</v>
      </c>
      <c r="S10" s="283">
        <f>SUM(S5:S9)</f>
        <v>2643597600</v>
      </c>
      <c r="T10" s="283">
        <f t="shared" si="0"/>
        <v>637063200</v>
      </c>
    </row>
    <row r="11" spans="1:20" ht="24.95" customHeight="1">
      <c r="A11" s="476">
        <v>220</v>
      </c>
      <c r="B11" s="280" t="s">
        <v>225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82"/>
      <c r="M11" s="282"/>
      <c r="N11" s="282"/>
      <c r="O11" s="282"/>
      <c r="P11" s="282"/>
      <c r="Q11" s="282"/>
      <c r="R11" s="282"/>
      <c r="S11" s="282"/>
      <c r="T11" s="282">
        <f t="shared" si="0"/>
        <v>0</v>
      </c>
    </row>
    <row r="12" spans="1:20" ht="24.95" customHeight="1">
      <c r="A12" s="476">
        <v>2210</v>
      </c>
      <c r="B12" s="280" t="s">
        <v>226</v>
      </c>
      <c r="C12" s="246"/>
      <c r="D12" s="246"/>
      <c r="E12" s="246"/>
      <c r="F12" s="246"/>
      <c r="G12" s="246"/>
      <c r="H12" s="280"/>
      <c r="I12" s="280"/>
      <c r="J12" s="280"/>
      <c r="K12" s="246"/>
      <c r="L12" s="282"/>
      <c r="M12" s="282"/>
      <c r="N12" s="282"/>
      <c r="O12" s="282"/>
      <c r="P12" s="282"/>
      <c r="Q12" s="282"/>
      <c r="R12" s="282"/>
      <c r="S12" s="282"/>
      <c r="T12" s="282">
        <f t="shared" si="0"/>
        <v>0</v>
      </c>
    </row>
    <row r="13" spans="1:20" ht="24.95" customHeight="1">
      <c r="A13" s="392">
        <v>22101</v>
      </c>
      <c r="B13" s="246" t="s">
        <v>33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82">
        <v>60000000</v>
      </c>
      <c r="M13" s="282">
        <f>60000000*70%</f>
        <v>42000000</v>
      </c>
      <c r="N13" s="282">
        <f>60000000*70%</f>
        <v>42000000</v>
      </c>
      <c r="O13" s="282">
        <f>60000000*70%</f>
        <v>42000000</v>
      </c>
      <c r="P13" s="282">
        <v>132000000</v>
      </c>
      <c r="Q13" s="282">
        <v>132000000</v>
      </c>
      <c r="R13" s="282">
        <v>132000000</v>
      </c>
      <c r="S13" s="282">
        <v>132000000</v>
      </c>
      <c r="T13" s="282">
        <f t="shared" si="0"/>
        <v>0</v>
      </c>
    </row>
    <row r="14" spans="1:20" ht="24.95" customHeight="1">
      <c r="A14" s="392">
        <v>22102</v>
      </c>
      <c r="B14" s="246" t="s">
        <v>124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82">
        <v>0</v>
      </c>
      <c r="M14" s="282">
        <v>0</v>
      </c>
      <c r="N14" s="282">
        <v>90000000</v>
      </c>
      <c r="O14" s="282">
        <f>N14</f>
        <v>90000000</v>
      </c>
      <c r="P14" s="282">
        <v>30000000</v>
      </c>
      <c r="Q14" s="282">
        <v>30000000</v>
      </c>
      <c r="R14" s="282">
        <v>30000000</v>
      </c>
      <c r="S14" s="282">
        <v>30000000</v>
      </c>
      <c r="T14" s="282">
        <f t="shared" si="0"/>
        <v>0</v>
      </c>
    </row>
    <row r="15" spans="1:20" ht="24.95" customHeight="1">
      <c r="A15" s="392">
        <v>22103</v>
      </c>
      <c r="B15" s="246" t="s">
        <v>125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f t="shared" si="0"/>
        <v>0</v>
      </c>
    </row>
    <row r="16" spans="1:20" ht="24.95" customHeight="1">
      <c r="A16" s="392">
        <v>22104</v>
      </c>
      <c r="B16" s="246" t="s">
        <v>157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82">
        <v>50000000</v>
      </c>
      <c r="M16" s="282">
        <v>35000000</v>
      </c>
      <c r="N16" s="282">
        <v>50000000</v>
      </c>
      <c r="O16" s="282">
        <v>50000000</v>
      </c>
      <c r="P16" s="282">
        <v>50000000</v>
      </c>
      <c r="Q16" s="282">
        <v>100000000</v>
      </c>
      <c r="R16" s="282">
        <v>100000000</v>
      </c>
      <c r="S16" s="282">
        <v>100000000</v>
      </c>
      <c r="T16" s="282">
        <f t="shared" si="0"/>
        <v>0</v>
      </c>
    </row>
    <row r="17" spans="1:20" ht="24.95" customHeight="1">
      <c r="A17" s="392">
        <v>22105</v>
      </c>
      <c r="B17" s="246" t="s">
        <v>135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82">
        <v>0</v>
      </c>
      <c r="M17" s="282">
        <v>43200000</v>
      </c>
      <c r="N17" s="282">
        <v>43200000</v>
      </c>
      <c r="O17" s="282">
        <v>43200000</v>
      </c>
      <c r="P17" s="282">
        <v>43200000</v>
      </c>
      <c r="Q17" s="282">
        <v>43200000</v>
      </c>
      <c r="R17" s="282">
        <v>43200000</v>
      </c>
      <c r="S17" s="282">
        <v>43200000</v>
      </c>
      <c r="T17" s="282">
        <f t="shared" si="0"/>
        <v>0</v>
      </c>
    </row>
    <row r="18" spans="1:20" ht="24.95" customHeight="1">
      <c r="A18" s="392">
        <v>22106</v>
      </c>
      <c r="B18" s="246" t="s">
        <v>126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82">
        <v>8937600</v>
      </c>
      <c r="M18" s="282">
        <f>8937600*70%</f>
        <v>6256320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f t="shared" si="0"/>
        <v>0</v>
      </c>
    </row>
    <row r="19" spans="1:20" ht="24.95" customHeight="1">
      <c r="A19" s="392">
        <v>22107</v>
      </c>
      <c r="B19" s="246" t="s">
        <v>48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82">
        <v>45000000</v>
      </c>
      <c r="M19" s="282">
        <f>45000000*70%</f>
        <v>31499999.999999996</v>
      </c>
      <c r="N19" s="282">
        <v>40000000</v>
      </c>
      <c r="O19" s="282">
        <v>50000000</v>
      </c>
      <c r="P19" s="282">
        <v>50000000</v>
      </c>
      <c r="Q19" s="282">
        <v>100000000</v>
      </c>
      <c r="R19" s="282">
        <v>100000000</v>
      </c>
      <c r="S19" s="282">
        <v>100000000</v>
      </c>
      <c r="T19" s="282">
        <f t="shared" si="0"/>
        <v>0</v>
      </c>
    </row>
    <row r="20" spans="1:20" ht="24.95" customHeight="1">
      <c r="A20" s="392">
        <v>22108</v>
      </c>
      <c r="B20" s="246" t="s">
        <v>93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f t="shared" si="0"/>
        <v>0</v>
      </c>
    </row>
    <row r="21" spans="1:20" ht="24.95" customHeight="1">
      <c r="A21" s="392">
        <v>22109</v>
      </c>
      <c r="B21" s="246" t="s">
        <v>136</v>
      </c>
      <c r="C21" s="246"/>
      <c r="D21" s="246"/>
      <c r="E21" s="246"/>
      <c r="F21" s="246"/>
      <c r="G21" s="246"/>
      <c r="H21" s="246"/>
      <c r="I21" s="246"/>
      <c r="J21" s="246"/>
      <c r="K21" s="280"/>
      <c r="L21" s="282">
        <v>10427200</v>
      </c>
      <c r="M21" s="282">
        <f>10427200*70%</f>
        <v>7299040</v>
      </c>
      <c r="N21" s="282">
        <f>10427200*70%</f>
        <v>7299040</v>
      </c>
      <c r="O21" s="282">
        <v>12299040</v>
      </c>
      <c r="P21" s="282">
        <v>12299040</v>
      </c>
      <c r="Q21" s="282">
        <v>25000000</v>
      </c>
      <c r="R21" s="282">
        <v>25000000</v>
      </c>
      <c r="S21" s="282">
        <v>25000000</v>
      </c>
      <c r="T21" s="282">
        <f t="shared" si="0"/>
        <v>0</v>
      </c>
    </row>
    <row r="22" spans="1:20" ht="24.95" customHeight="1">
      <c r="A22" s="392">
        <v>22112</v>
      </c>
      <c r="B22" s="246" t="s">
        <v>35</v>
      </c>
      <c r="C22" s="246"/>
      <c r="D22" s="246"/>
      <c r="E22" s="246"/>
      <c r="F22" s="246"/>
      <c r="G22" s="246"/>
      <c r="H22" s="280"/>
      <c r="I22" s="280"/>
      <c r="J22" s="280"/>
      <c r="K22" s="280"/>
      <c r="L22" s="282">
        <v>45000000</v>
      </c>
      <c r="M22" s="282">
        <f>45000000*70%</f>
        <v>31499999.999999996</v>
      </c>
      <c r="N22" s="282">
        <v>40000000</v>
      </c>
      <c r="O22" s="282">
        <v>50000000</v>
      </c>
      <c r="P22" s="282">
        <v>50000000</v>
      </c>
      <c r="Q22" s="282">
        <v>100000000</v>
      </c>
      <c r="R22" s="282">
        <v>100000000</v>
      </c>
      <c r="S22" s="282">
        <v>100000000</v>
      </c>
      <c r="T22" s="282">
        <f t="shared" si="0"/>
        <v>0</v>
      </c>
    </row>
    <row r="23" spans="1:20" ht="24.95" customHeight="1">
      <c r="A23" s="392">
        <v>22132</v>
      </c>
      <c r="B23" s="246" t="s">
        <v>1350</v>
      </c>
      <c r="C23" s="246"/>
      <c r="D23" s="246"/>
      <c r="E23" s="246"/>
      <c r="F23" s="246"/>
      <c r="G23" s="246"/>
      <c r="H23" s="280"/>
      <c r="I23" s="280"/>
      <c r="J23" s="280"/>
      <c r="K23" s="280"/>
      <c r="L23" s="282"/>
      <c r="M23" s="282"/>
      <c r="N23" s="282"/>
      <c r="O23" s="282"/>
      <c r="P23" s="282"/>
      <c r="Q23" s="282"/>
      <c r="R23" s="282"/>
      <c r="S23" s="852">
        <v>250000000</v>
      </c>
      <c r="T23" s="282">
        <f t="shared" si="0"/>
        <v>250000000</v>
      </c>
    </row>
    <row r="24" spans="1:20" ht="24.95" customHeight="1">
      <c r="A24" s="392">
        <v>22137</v>
      </c>
      <c r="B24" s="246" t="s">
        <v>1218</v>
      </c>
      <c r="C24" s="246"/>
      <c r="D24" s="246"/>
      <c r="E24" s="246"/>
      <c r="F24" s="246"/>
      <c r="G24" s="246"/>
      <c r="H24" s="280"/>
      <c r="I24" s="280"/>
      <c r="J24" s="280"/>
      <c r="K24" s="280"/>
      <c r="L24" s="282"/>
      <c r="M24" s="282"/>
      <c r="N24" s="282"/>
      <c r="O24" s="282"/>
      <c r="P24" s="282"/>
      <c r="Q24" s="282">
        <v>0</v>
      </c>
      <c r="R24" s="282">
        <v>250000000</v>
      </c>
      <c r="S24" s="852">
        <v>400000000</v>
      </c>
      <c r="T24" s="282">
        <f t="shared" si="0"/>
        <v>150000000</v>
      </c>
    </row>
    <row r="25" spans="1:20" ht="24.95" customHeight="1">
      <c r="A25" s="392">
        <v>22184</v>
      </c>
      <c r="B25" s="246" t="s">
        <v>1084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82">
        <v>135000000</v>
      </c>
      <c r="M25" s="282">
        <f>135000000*70%</f>
        <v>94500000</v>
      </c>
      <c r="N25" s="282">
        <v>0</v>
      </c>
      <c r="O25" s="282">
        <v>0</v>
      </c>
      <c r="P25" s="282">
        <v>0</v>
      </c>
      <c r="Q25" s="282">
        <v>249120000</v>
      </c>
      <c r="R25" s="282">
        <v>279120000</v>
      </c>
      <c r="S25" s="852">
        <v>379120000</v>
      </c>
      <c r="T25" s="282">
        <f t="shared" si="0"/>
        <v>100000000</v>
      </c>
    </row>
    <row r="26" spans="1:20" ht="24.95" customHeight="1">
      <c r="A26" s="392"/>
      <c r="B26" s="280" t="s">
        <v>92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83">
        <f t="shared" ref="L26:P26" si="1">SUM(L13:L25)</f>
        <v>354364800</v>
      </c>
      <c r="M26" s="283">
        <f t="shared" si="1"/>
        <v>291255360</v>
      </c>
      <c r="N26" s="283">
        <f t="shared" si="1"/>
        <v>312499040</v>
      </c>
      <c r="O26" s="283">
        <f t="shared" si="1"/>
        <v>337499040</v>
      </c>
      <c r="P26" s="283">
        <f t="shared" si="1"/>
        <v>367499040</v>
      </c>
      <c r="Q26" s="283">
        <f>SUM(Q13:Q25)</f>
        <v>779320000</v>
      </c>
      <c r="R26" s="283">
        <f>SUM(R13:R25)</f>
        <v>1059320000</v>
      </c>
      <c r="S26" s="869">
        <f>SUM(S13:S25)</f>
        <v>1559320000</v>
      </c>
      <c r="T26" s="283">
        <f t="shared" si="0"/>
        <v>500000000</v>
      </c>
    </row>
    <row r="27" spans="1:20" ht="24.95" customHeight="1">
      <c r="A27" s="476">
        <v>2220</v>
      </c>
      <c r="B27" s="280" t="s">
        <v>240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82"/>
      <c r="M27" s="282"/>
      <c r="N27" s="282"/>
      <c r="O27" s="282"/>
      <c r="P27" s="282"/>
      <c r="Q27" s="282"/>
      <c r="R27" s="282"/>
      <c r="S27" s="852"/>
      <c r="T27" s="282">
        <f t="shared" si="0"/>
        <v>0</v>
      </c>
    </row>
    <row r="28" spans="1:20" ht="24.95" customHeight="1">
      <c r="A28" s="392">
        <v>22201</v>
      </c>
      <c r="B28" s="246" t="s">
        <v>132</v>
      </c>
      <c r="C28" s="246"/>
      <c r="D28" s="246"/>
      <c r="E28" s="246"/>
      <c r="F28" s="246"/>
      <c r="G28" s="246"/>
      <c r="H28" s="246"/>
      <c r="I28" s="246"/>
      <c r="J28" s="246"/>
      <c r="K28" s="280"/>
      <c r="L28" s="283">
        <v>0</v>
      </c>
      <c r="M28" s="283"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869">
        <v>0</v>
      </c>
      <c r="T28" s="282">
        <f t="shared" si="0"/>
        <v>0</v>
      </c>
    </row>
    <row r="29" spans="1:20" ht="24.95" customHeight="1">
      <c r="A29" s="392">
        <v>22202</v>
      </c>
      <c r="B29" s="246" t="s">
        <v>133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82">
        <v>360000000</v>
      </c>
      <c r="M29" s="282">
        <f>L29*70%</f>
        <v>251999999.99999997</v>
      </c>
      <c r="N29" s="282">
        <v>201600000</v>
      </c>
      <c r="O29" s="282">
        <v>201600000</v>
      </c>
      <c r="P29" s="282">
        <v>201600000</v>
      </c>
      <c r="Q29" s="282">
        <v>251600000</v>
      </c>
      <c r="R29" s="282">
        <v>331600000</v>
      </c>
      <c r="S29" s="852">
        <v>331600000</v>
      </c>
      <c r="T29" s="282">
        <f t="shared" si="0"/>
        <v>0</v>
      </c>
    </row>
    <row r="30" spans="1:20" ht="24.95" customHeight="1">
      <c r="A30" s="392">
        <v>22203</v>
      </c>
      <c r="B30" s="246" t="s">
        <v>127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82">
        <v>30000000</v>
      </c>
      <c r="M30" s="282">
        <v>21000000</v>
      </c>
      <c r="N30" s="282">
        <v>30000000</v>
      </c>
      <c r="O30" s="282">
        <v>30000000</v>
      </c>
      <c r="P30" s="282">
        <v>30000000</v>
      </c>
      <c r="Q30" s="282">
        <v>30000000</v>
      </c>
      <c r="R30" s="282">
        <v>30000000</v>
      </c>
      <c r="S30" s="852">
        <v>30000000</v>
      </c>
      <c r="T30" s="282">
        <f t="shared" si="0"/>
        <v>0</v>
      </c>
    </row>
    <row r="31" spans="1:20" ht="24.95" customHeight="1">
      <c r="A31" s="392">
        <v>22204</v>
      </c>
      <c r="B31" s="246" t="s">
        <v>128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82">
        <v>6703200</v>
      </c>
      <c r="M31" s="282">
        <f t="shared" ref="M31:S31" si="2">6703200*70%</f>
        <v>4692240</v>
      </c>
      <c r="N31" s="282">
        <f t="shared" si="2"/>
        <v>4692240</v>
      </c>
      <c r="O31" s="282">
        <f t="shared" si="2"/>
        <v>4692240</v>
      </c>
      <c r="P31" s="282">
        <f t="shared" si="2"/>
        <v>4692240</v>
      </c>
      <c r="Q31" s="282">
        <f t="shared" si="2"/>
        <v>4692240</v>
      </c>
      <c r="R31" s="282">
        <f t="shared" si="2"/>
        <v>4692240</v>
      </c>
      <c r="S31" s="852">
        <f t="shared" si="2"/>
        <v>4692240</v>
      </c>
      <c r="T31" s="282">
        <f t="shared" si="0"/>
        <v>0</v>
      </c>
    </row>
    <row r="32" spans="1:20" ht="24.95" customHeight="1">
      <c r="A32" s="392">
        <v>22205</v>
      </c>
      <c r="B32" s="246" t="s">
        <v>134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852">
        <v>0</v>
      </c>
      <c r="T32" s="282">
        <f t="shared" si="0"/>
        <v>0</v>
      </c>
    </row>
    <row r="33" spans="1:20" ht="24.95" customHeight="1">
      <c r="A33" s="392"/>
      <c r="B33" s="280" t="s">
        <v>92</v>
      </c>
      <c r="C33" s="246"/>
      <c r="D33" s="246"/>
      <c r="E33" s="246"/>
      <c r="F33" s="246"/>
      <c r="G33" s="246"/>
      <c r="H33" s="246"/>
      <c r="I33" s="246"/>
      <c r="J33" s="246"/>
      <c r="K33" s="280"/>
      <c r="L33" s="283">
        <f t="shared" ref="L33:Q33" si="3">SUM(L28:L32)</f>
        <v>396703200</v>
      </c>
      <c r="M33" s="283">
        <f t="shared" si="3"/>
        <v>277692240</v>
      </c>
      <c r="N33" s="283">
        <f t="shared" si="3"/>
        <v>236292240</v>
      </c>
      <c r="O33" s="283">
        <f t="shared" si="3"/>
        <v>236292240</v>
      </c>
      <c r="P33" s="283">
        <f t="shared" si="3"/>
        <v>236292240</v>
      </c>
      <c r="Q33" s="283">
        <f t="shared" si="3"/>
        <v>286292240</v>
      </c>
      <c r="R33" s="283">
        <f>SUM(R28:R32)</f>
        <v>366292240</v>
      </c>
      <c r="S33" s="869">
        <f>SUM(S28:S32)</f>
        <v>366292240</v>
      </c>
      <c r="T33" s="283">
        <f t="shared" si="0"/>
        <v>0</v>
      </c>
    </row>
    <row r="34" spans="1:20" ht="24.95" customHeight="1">
      <c r="A34" s="476">
        <v>2230</v>
      </c>
      <c r="B34" s="280" t="s">
        <v>130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82"/>
      <c r="M34" s="282"/>
      <c r="N34" s="282"/>
      <c r="O34" s="282"/>
      <c r="P34" s="282"/>
      <c r="Q34" s="282"/>
      <c r="R34" s="282"/>
      <c r="S34" s="852"/>
      <c r="T34" s="282">
        <f t="shared" si="0"/>
        <v>0</v>
      </c>
    </row>
    <row r="35" spans="1:20" ht="24.95" customHeight="1">
      <c r="A35" s="392">
        <v>22301</v>
      </c>
      <c r="B35" s="246" t="s">
        <v>49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82">
        <v>45000000</v>
      </c>
      <c r="M35" s="282">
        <v>31500000</v>
      </c>
      <c r="N35" s="282">
        <v>40000000</v>
      </c>
      <c r="O35" s="282">
        <v>40000000</v>
      </c>
      <c r="P35" s="282">
        <v>40000000</v>
      </c>
      <c r="Q35" s="282">
        <v>50000000</v>
      </c>
      <c r="R35" s="282">
        <v>270000000</v>
      </c>
      <c r="S35" s="852">
        <v>270000000</v>
      </c>
      <c r="T35" s="282">
        <f t="shared" si="0"/>
        <v>0</v>
      </c>
    </row>
    <row r="36" spans="1:20" ht="24.95" customHeight="1">
      <c r="A36" s="392">
        <v>22302</v>
      </c>
      <c r="B36" s="246" t="s">
        <v>1219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82">
        <v>3724000</v>
      </c>
      <c r="M36" s="282">
        <f>3724000*70%</f>
        <v>2606800</v>
      </c>
      <c r="N36" s="282">
        <f>3724000*70%</f>
        <v>2606800</v>
      </c>
      <c r="O36" s="282">
        <v>120000000</v>
      </c>
      <c r="P36" s="282">
        <v>0</v>
      </c>
      <c r="Q36" s="282">
        <v>0</v>
      </c>
      <c r="R36" s="282">
        <v>200000000</v>
      </c>
      <c r="S36" s="852">
        <v>200000000</v>
      </c>
      <c r="T36" s="282">
        <f t="shared" si="0"/>
        <v>0</v>
      </c>
    </row>
    <row r="37" spans="1:20" ht="24.95" customHeight="1">
      <c r="A37" s="392">
        <v>22313</v>
      </c>
      <c r="B37" s="246" t="s">
        <v>251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869">
        <v>0</v>
      </c>
      <c r="T37" s="282">
        <f t="shared" si="0"/>
        <v>0</v>
      </c>
    </row>
    <row r="38" spans="1:20" ht="24.95" customHeight="1">
      <c r="A38" s="392"/>
      <c r="B38" s="280" t="s">
        <v>92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3">
        <f t="shared" ref="L38:P38" si="4">SUM(L35:L37)</f>
        <v>48724000</v>
      </c>
      <c r="M38" s="283">
        <f t="shared" si="4"/>
        <v>34106800</v>
      </c>
      <c r="N38" s="283">
        <f t="shared" si="4"/>
        <v>42606800</v>
      </c>
      <c r="O38" s="283">
        <f t="shared" si="4"/>
        <v>160000000</v>
      </c>
      <c r="P38" s="283">
        <f t="shared" si="4"/>
        <v>40000000</v>
      </c>
      <c r="Q38" s="283">
        <f>SUM(Q35:Q37)</f>
        <v>50000000</v>
      </c>
      <c r="R38" s="283">
        <f>SUM(R35:R37)</f>
        <v>470000000</v>
      </c>
      <c r="S38" s="869">
        <f>SUM(S35:S37)</f>
        <v>470000000</v>
      </c>
      <c r="T38" s="283">
        <f t="shared" si="0"/>
        <v>0</v>
      </c>
    </row>
    <row r="39" spans="1:20" ht="24.95" customHeight="1">
      <c r="A39" s="476">
        <v>270</v>
      </c>
      <c r="B39" s="280" t="s">
        <v>253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3"/>
      <c r="M39" s="283"/>
      <c r="N39" s="283"/>
      <c r="O39" s="283"/>
      <c r="P39" s="283"/>
      <c r="Q39" s="283"/>
      <c r="R39" s="283"/>
      <c r="S39" s="869"/>
      <c r="T39" s="282">
        <f t="shared" si="0"/>
        <v>0</v>
      </c>
    </row>
    <row r="40" spans="1:20" ht="24.95" customHeight="1">
      <c r="A40" s="476">
        <v>2710</v>
      </c>
      <c r="B40" s="280" t="s">
        <v>252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3"/>
      <c r="M40" s="283"/>
      <c r="N40" s="283"/>
      <c r="O40" s="283"/>
      <c r="P40" s="283"/>
      <c r="Q40" s="283"/>
      <c r="R40" s="283"/>
      <c r="S40" s="869"/>
      <c r="T40" s="282">
        <f t="shared" si="0"/>
        <v>0</v>
      </c>
    </row>
    <row r="41" spans="1:20" ht="24.95" customHeight="1">
      <c r="A41" s="392">
        <v>27601</v>
      </c>
      <c r="B41" s="246" t="s">
        <v>264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82">
        <v>0</v>
      </c>
      <c r="M41" s="282">
        <v>0</v>
      </c>
      <c r="N41" s="282">
        <v>0</v>
      </c>
      <c r="O41" s="282">
        <v>0</v>
      </c>
      <c r="P41" s="282">
        <v>120000000</v>
      </c>
      <c r="Q41" s="282">
        <v>180000000</v>
      </c>
      <c r="R41" s="282">
        <v>0</v>
      </c>
      <c r="S41" s="852">
        <v>0</v>
      </c>
      <c r="T41" s="282">
        <f t="shared" si="0"/>
        <v>0</v>
      </c>
    </row>
    <row r="42" spans="1:20" ht="24.95" customHeight="1">
      <c r="A42" s="392">
        <v>27402</v>
      </c>
      <c r="B42" s="246" t="s">
        <v>1379</v>
      </c>
      <c r="C42" s="292"/>
      <c r="D42" s="274">
        <v>0</v>
      </c>
      <c r="E42" s="274"/>
      <c r="F42" s="274" t="s">
        <v>4</v>
      </c>
      <c r="G42" s="274"/>
      <c r="H42" s="274"/>
      <c r="I42" s="274"/>
      <c r="J42" s="274"/>
      <c r="K42" s="274"/>
      <c r="L42" s="281">
        <v>0</v>
      </c>
      <c r="M42" s="281">
        <v>108000000</v>
      </c>
      <c r="N42" s="281">
        <f>M42</f>
        <v>108000000</v>
      </c>
      <c r="O42" s="281">
        <v>0</v>
      </c>
      <c r="P42" s="281">
        <v>120000000</v>
      </c>
      <c r="Q42" s="281">
        <v>0</v>
      </c>
      <c r="R42" s="281">
        <v>150000000</v>
      </c>
      <c r="S42" s="887">
        <v>170000000</v>
      </c>
      <c r="T42" s="282">
        <f t="shared" si="0"/>
        <v>20000000</v>
      </c>
    </row>
    <row r="43" spans="1:20" ht="24.95" customHeight="1">
      <c r="A43" s="392">
        <v>27402</v>
      </c>
      <c r="B43" s="246" t="s">
        <v>1251</v>
      </c>
      <c r="C43" s="292"/>
      <c r="D43" s="274"/>
      <c r="E43" s="274"/>
      <c r="F43" s="274"/>
      <c r="G43" s="274"/>
      <c r="H43" s="274"/>
      <c r="I43" s="274"/>
      <c r="J43" s="274"/>
      <c r="K43" s="274"/>
      <c r="L43" s="281"/>
      <c r="M43" s="281"/>
      <c r="N43" s="281"/>
      <c r="O43" s="281"/>
      <c r="P43" s="281"/>
      <c r="Q43" s="281"/>
      <c r="R43" s="281">
        <v>90000000</v>
      </c>
      <c r="S43" s="887">
        <v>0</v>
      </c>
      <c r="T43" s="282">
        <f t="shared" si="0"/>
        <v>-90000000</v>
      </c>
    </row>
    <row r="44" spans="1:20" ht="24.95" customHeight="1">
      <c r="A44" s="392">
        <v>27502</v>
      </c>
      <c r="B44" s="246" t="s">
        <v>148</v>
      </c>
      <c r="C44" s="292"/>
      <c r="D44" s="274" t="s">
        <v>4</v>
      </c>
      <c r="E44" s="274"/>
      <c r="F44" s="274" t="s">
        <v>4</v>
      </c>
      <c r="G44" s="274"/>
      <c r="H44" s="274"/>
      <c r="I44" s="274"/>
      <c r="J44" s="274"/>
      <c r="K44" s="274"/>
      <c r="L44" s="281">
        <v>5586000</v>
      </c>
      <c r="M44" s="281">
        <f>5586000*70%</f>
        <v>3910199.9999999995</v>
      </c>
      <c r="N44" s="281">
        <f t="shared" ref="N44:S44" si="5">M44</f>
        <v>3910199.9999999995</v>
      </c>
      <c r="O44" s="281">
        <f t="shared" si="5"/>
        <v>3910199.9999999995</v>
      </c>
      <c r="P44" s="281">
        <f t="shared" si="5"/>
        <v>3910199.9999999995</v>
      </c>
      <c r="Q44" s="281">
        <f t="shared" si="5"/>
        <v>3910199.9999999995</v>
      </c>
      <c r="R44" s="281">
        <f t="shared" si="5"/>
        <v>3910199.9999999995</v>
      </c>
      <c r="S44" s="887">
        <f t="shared" si="5"/>
        <v>3910199.9999999995</v>
      </c>
      <c r="T44" s="282">
        <f t="shared" si="0"/>
        <v>0</v>
      </c>
    </row>
    <row r="45" spans="1:20" ht="24.95" customHeight="1">
      <c r="A45" s="392">
        <v>27604</v>
      </c>
      <c r="B45" s="246" t="s">
        <v>887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81">
        <v>1981000000</v>
      </c>
      <c r="M45" s="281">
        <f>3840000000*70%</f>
        <v>2688000000</v>
      </c>
      <c r="N45" s="281">
        <f>M45</f>
        <v>2688000000</v>
      </c>
      <c r="O45" s="281">
        <f>N45</f>
        <v>2688000000</v>
      </c>
      <c r="P45" s="281">
        <v>3000000000</v>
      </c>
      <c r="Q45" s="281">
        <v>4000000000</v>
      </c>
      <c r="R45" s="281">
        <f>Q45</f>
        <v>4000000000</v>
      </c>
      <c r="S45" s="887">
        <v>0</v>
      </c>
      <c r="T45" s="282">
        <f t="shared" si="0"/>
        <v>-4000000000</v>
      </c>
    </row>
    <row r="46" spans="1:20" ht="24.95" customHeight="1">
      <c r="A46" s="392"/>
      <c r="B46" s="280" t="s">
        <v>92</v>
      </c>
      <c r="C46" s="292"/>
      <c r="D46" s="292"/>
      <c r="E46" s="292"/>
      <c r="F46" s="292">
        <f>1386274192-71600000-798000-176160000-12600000</f>
        <v>1125116192</v>
      </c>
      <c r="G46" s="292"/>
      <c r="H46" s="292"/>
      <c r="I46" s="292"/>
      <c r="J46" s="292"/>
      <c r="K46" s="292"/>
      <c r="L46" s="284">
        <f t="shared" ref="L46:P46" si="6">SUM(L41:L45)</f>
        <v>1986586000</v>
      </c>
      <c r="M46" s="284">
        <f t="shared" si="6"/>
        <v>2799910200</v>
      </c>
      <c r="N46" s="284">
        <f t="shared" si="6"/>
        <v>2799910200</v>
      </c>
      <c r="O46" s="284">
        <f t="shared" si="6"/>
        <v>2691910200</v>
      </c>
      <c r="P46" s="284">
        <f t="shared" si="6"/>
        <v>3243910200</v>
      </c>
      <c r="Q46" s="284">
        <f>SUM(Q41:Q45)</f>
        <v>4183910200</v>
      </c>
      <c r="R46" s="284">
        <f>SUM(R41:R45)</f>
        <v>4243910200</v>
      </c>
      <c r="S46" s="888">
        <f>SUM(S41:S45)</f>
        <v>173910200</v>
      </c>
      <c r="T46" s="283">
        <f t="shared" si="0"/>
        <v>-4070000000</v>
      </c>
    </row>
    <row r="47" spans="1:20" ht="24.95" customHeight="1">
      <c r="A47" s="476">
        <v>2810</v>
      </c>
      <c r="B47" s="280" t="s">
        <v>1376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84"/>
      <c r="M47" s="284"/>
      <c r="N47" s="284"/>
      <c r="O47" s="284"/>
      <c r="P47" s="284"/>
      <c r="Q47" s="284"/>
      <c r="R47" s="284"/>
      <c r="S47" s="888"/>
      <c r="T47" s="282">
        <f t="shared" si="0"/>
        <v>0</v>
      </c>
    </row>
    <row r="48" spans="1:20" ht="24.95" customHeight="1">
      <c r="A48" s="392">
        <v>28102</v>
      </c>
      <c r="B48" s="246" t="s">
        <v>1497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84"/>
      <c r="M48" s="284"/>
      <c r="N48" s="284"/>
      <c r="O48" s="284"/>
      <c r="P48" s="284"/>
      <c r="Q48" s="284"/>
      <c r="R48" s="284">
        <v>0</v>
      </c>
      <c r="S48" s="887">
        <v>340000000</v>
      </c>
      <c r="T48" s="282">
        <f t="shared" si="0"/>
        <v>340000000</v>
      </c>
    </row>
    <row r="49" spans="1:20" ht="24.95" customHeight="1">
      <c r="A49" s="392"/>
      <c r="B49" s="280" t="s">
        <v>92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84"/>
      <c r="M49" s="284"/>
      <c r="N49" s="284"/>
      <c r="O49" s="284"/>
      <c r="P49" s="284"/>
      <c r="Q49" s="284"/>
      <c r="R49" s="284"/>
      <c r="S49" s="888">
        <f>SUM(S48)</f>
        <v>340000000</v>
      </c>
      <c r="T49" s="283">
        <f t="shared" si="0"/>
        <v>340000000</v>
      </c>
    </row>
    <row r="50" spans="1:20" ht="24.95" customHeight="1">
      <c r="A50" s="392"/>
      <c r="B50" s="280" t="s">
        <v>37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84" t="e">
        <f>L46+L38+L33+L26+L10+#REF!</f>
        <v>#REF!</v>
      </c>
      <c r="M50" s="284">
        <f t="shared" ref="M50:Q50" si="7">M46+M38+M33+M26+M10</f>
        <v>4222564600</v>
      </c>
      <c r="N50" s="284">
        <f t="shared" si="7"/>
        <v>4304777080</v>
      </c>
      <c r="O50" s="284">
        <f t="shared" si="7"/>
        <v>4401810280</v>
      </c>
      <c r="P50" s="284">
        <f t="shared" si="7"/>
        <v>5135292520</v>
      </c>
      <c r="Q50" s="284">
        <f t="shared" si="7"/>
        <v>6942354120</v>
      </c>
      <c r="R50" s="284">
        <f>R46+R38+R33+R26+R10</f>
        <v>8146056840</v>
      </c>
      <c r="S50" s="888">
        <f>S46+S38+S33+S26+S10+S49</f>
        <v>5553120040</v>
      </c>
      <c r="T50" s="283">
        <f t="shared" si="0"/>
        <v>-2592936800</v>
      </c>
    </row>
  </sheetData>
  <pageMargins left="0.7" right="0.48" top="0.87" bottom="0.54" header="0.3" footer="0.3"/>
  <pageSetup scale="55" orientation="portrait" r:id="rId1"/>
  <headerFooter>
    <oddHeader>&amp;C&amp;"Algerian,Bold"&amp;36WASAARAdDA BOOSAHA IYO ISGAADHSIINTA</oddHeader>
    <oddFooter>&amp;R&amp;"Times New Roman,Bold"&amp;14 38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view="pageBreakPreview" topLeftCell="A40" zoomScale="61" zoomScaleNormal="100" zoomScaleSheetLayoutView="61" workbookViewId="0">
      <selection activeCell="Q66" sqref="Q66"/>
    </sheetView>
  </sheetViews>
  <sheetFormatPr defaultRowHeight="17.45" customHeight="1"/>
  <cols>
    <col min="1" max="1" width="18.1640625" style="607" bestFit="1" customWidth="1"/>
    <col min="2" max="2" width="77.6640625" style="579" customWidth="1"/>
    <col min="3" max="10" width="9.33203125" style="579" hidden="1" customWidth="1"/>
    <col min="11" max="11" width="22.33203125" style="579" hidden="1" customWidth="1"/>
    <col min="12" max="12" width="26" style="579" hidden="1" customWidth="1"/>
    <col min="13" max="14" width="29.83203125" style="579" hidden="1" customWidth="1"/>
    <col min="15" max="15" width="0.33203125" style="579" hidden="1" customWidth="1"/>
    <col min="16" max="16" width="29.83203125" style="579" customWidth="1"/>
    <col min="17" max="17" width="33" style="579" bestFit="1" customWidth="1"/>
    <col min="18" max="18" width="29.83203125" style="579" customWidth="1"/>
    <col min="19" max="19" width="9.33203125" style="579" customWidth="1"/>
    <col min="20" max="16384" width="9.33203125" style="579"/>
  </cols>
  <sheetData>
    <row r="1" spans="1:19" ht="17.45" customHeight="1">
      <c r="A1" s="725" t="s">
        <v>39</v>
      </c>
      <c r="B1" s="625" t="s">
        <v>1012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1:19" ht="17.45" customHeight="1">
      <c r="A2" s="725" t="s">
        <v>25</v>
      </c>
      <c r="B2" s="625" t="s">
        <v>26</v>
      </c>
      <c r="C2" s="726" t="s">
        <v>38</v>
      </c>
      <c r="D2" s="630" t="s">
        <v>2</v>
      </c>
      <c r="E2" s="630" t="s">
        <v>43</v>
      </c>
      <c r="F2" s="630" t="s">
        <v>46</v>
      </c>
      <c r="G2" s="630" t="s">
        <v>55</v>
      </c>
      <c r="H2" s="630" t="s">
        <v>62</v>
      </c>
      <c r="I2" s="630" t="s">
        <v>103</v>
      </c>
      <c r="J2" s="630" t="s">
        <v>109</v>
      </c>
      <c r="K2" s="630" t="s">
        <v>151</v>
      </c>
      <c r="L2" s="630" t="s">
        <v>257</v>
      </c>
      <c r="M2" s="630" t="s">
        <v>814</v>
      </c>
      <c r="N2" s="630" t="s">
        <v>874</v>
      </c>
      <c r="O2" s="630" t="s">
        <v>973</v>
      </c>
      <c r="P2" s="630" t="s">
        <v>1160</v>
      </c>
      <c r="Q2" s="630" t="s">
        <v>1320</v>
      </c>
      <c r="R2" s="630" t="s">
        <v>56</v>
      </c>
      <c r="S2" s="601"/>
    </row>
    <row r="3" spans="1:19" ht="17.45" customHeight="1">
      <c r="A3" s="628">
        <v>210</v>
      </c>
      <c r="B3" s="308" t="s">
        <v>137</v>
      </c>
      <c r="C3" s="307"/>
      <c r="D3" s="307"/>
      <c r="E3" s="307"/>
      <c r="F3" s="307"/>
      <c r="G3" s="307"/>
      <c r="H3" s="307"/>
      <c r="I3" s="307"/>
      <c r="J3" s="307"/>
      <c r="K3" s="723"/>
      <c r="L3" s="723"/>
      <c r="M3" s="727"/>
      <c r="N3" s="727"/>
      <c r="O3" s="727"/>
      <c r="P3" s="727"/>
      <c r="Q3" s="727"/>
      <c r="R3" s="727"/>
    </row>
    <row r="4" spans="1:19" ht="17.45" customHeight="1">
      <c r="A4" s="628">
        <v>2110</v>
      </c>
      <c r="B4" s="308" t="s">
        <v>213</v>
      </c>
      <c r="C4" s="307"/>
      <c r="D4" s="307"/>
      <c r="E4" s="307"/>
      <c r="F4" s="307"/>
      <c r="G4" s="307"/>
      <c r="H4" s="307"/>
      <c r="I4" s="307"/>
      <c r="J4" s="307"/>
      <c r="K4" s="723"/>
      <c r="L4" s="723"/>
      <c r="M4" s="723"/>
      <c r="N4" s="723"/>
      <c r="O4" s="723"/>
      <c r="P4" s="723"/>
      <c r="Q4" s="723"/>
      <c r="R4" s="723"/>
    </row>
    <row r="5" spans="1:19" ht="17.45" customHeight="1">
      <c r="A5" s="632">
        <v>21101</v>
      </c>
      <c r="B5" s="307" t="s">
        <v>28</v>
      </c>
      <c r="C5" s="307"/>
      <c r="D5" s="307"/>
      <c r="E5" s="307"/>
      <c r="F5" s="307"/>
      <c r="G5" s="307"/>
      <c r="H5" s="307"/>
      <c r="I5" s="307"/>
      <c r="J5" s="307"/>
      <c r="K5" s="723">
        <v>11746908400</v>
      </c>
      <c r="L5" s="723">
        <f>shaqaalaha2011!H36+72000000</f>
        <v>31824552000</v>
      </c>
      <c r="M5" s="723">
        <v>47317857600</v>
      </c>
      <c r="N5" s="723">
        <v>60402326400</v>
      </c>
      <c r="O5" s="723">
        <v>61024504320</v>
      </c>
      <c r="P5" s="307">
        <v>62142575040</v>
      </c>
      <c r="Q5" s="843">
        <v>73222392672</v>
      </c>
      <c r="R5" s="723">
        <f>Q5-P5</f>
        <v>11079817632</v>
      </c>
    </row>
    <row r="6" spans="1:19" ht="17.45" customHeight="1">
      <c r="A6" s="632">
        <v>21102</v>
      </c>
      <c r="B6" s="307" t="s">
        <v>587</v>
      </c>
      <c r="C6" s="307"/>
      <c r="D6" s="307"/>
      <c r="E6" s="307"/>
      <c r="F6" s="307"/>
      <c r="G6" s="307"/>
      <c r="H6" s="307"/>
      <c r="I6" s="307"/>
      <c r="J6" s="307"/>
      <c r="K6" s="723">
        <v>0</v>
      </c>
      <c r="L6" s="723">
        <v>0</v>
      </c>
      <c r="M6" s="723">
        <v>591022000</v>
      </c>
      <c r="N6" s="723">
        <v>194400000</v>
      </c>
      <c r="O6" s="723">
        <v>194400000</v>
      </c>
      <c r="P6" s="723">
        <v>291600000</v>
      </c>
      <c r="Q6" s="844">
        <v>291600000</v>
      </c>
      <c r="R6" s="723">
        <f t="shared" ref="R6:R66" si="0">Q6-P6</f>
        <v>0</v>
      </c>
    </row>
    <row r="7" spans="1:19" ht="17.45" customHeight="1">
      <c r="A7" s="632">
        <v>21103</v>
      </c>
      <c r="B7" s="307" t="s">
        <v>30</v>
      </c>
      <c r="C7" s="308"/>
      <c r="D7" s="308"/>
      <c r="E7" s="308"/>
      <c r="F7" s="308"/>
      <c r="G7" s="308"/>
      <c r="H7" s="308"/>
      <c r="I7" s="308"/>
      <c r="J7" s="308"/>
      <c r="K7" s="723">
        <v>105600000</v>
      </c>
      <c r="L7" s="723">
        <f>K7+10800000</f>
        <v>116400000</v>
      </c>
      <c r="M7" s="723">
        <v>298800000</v>
      </c>
      <c r="N7" s="723">
        <v>432000000</v>
      </c>
      <c r="O7" s="723">
        <v>432000000</v>
      </c>
      <c r="P7" s="723">
        <v>504000000</v>
      </c>
      <c r="Q7" s="723">
        <v>540000000</v>
      </c>
      <c r="R7" s="723">
        <f t="shared" si="0"/>
        <v>36000000</v>
      </c>
    </row>
    <row r="8" spans="1:19" ht="17.45" customHeight="1">
      <c r="A8" s="632">
        <v>21105</v>
      </c>
      <c r="B8" s="307" t="s">
        <v>525</v>
      </c>
      <c r="C8" s="308"/>
      <c r="D8" s="308"/>
      <c r="E8" s="308"/>
      <c r="F8" s="308"/>
      <c r="G8" s="308"/>
      <c r="H8" s="308"/>
      <c r="I8" s="308"/>
      <c r="J8" s="308"/>
      <c r="K8" s="723"/>
      <c r="L8" s="723">
        <v>18000000</v>
      </c>
      <c r="M8" s="723">
        <f>L8</f>
        <v>18000000</v>
      </c>
      <c r="N8" s="723">
        <f>M8</f>
        <v>18000000</v>
      </c>
      <c r="O8" s="723">
        <f>N8</f>
        <v>18000000</v>
      </c>
      <c r="P8" s="723">
        <v>741200000</v>
      </c>
      <c r="Q8" s="874">
        <v>885200000</v>
      </c>
      <c r="R8" s="723">
        <f t="shared" si="0"/>
        <v>144000000</v>
      </c>
    </row>
    <row r="9" spans="1:19" ht="17.45" customHeight="1">
      <c r="A9" s="632"/>
      <c r="B9" s="308" t="s">
        <v>92</v>
      </c>
      <c r="C9" s="307"/>
      <c r="D9" s="307"/>
      <c r="E9" s="307"/>
      <c r="F9" s="307"/>
      <c r="G9" s="307"/>
      <c r="H9" s="307"/>
      <c r="I9" s="307"/>
      <c r="J9" s="307"/>
      <c r="K9" s="728">
        <f>SUM(K5:K7)</f>
        <v>11852508400</v>
      </c>
      <c r="L9" s="728">
        <f>L8+L7+L5+L6</f>
        <v>31958952000</v>
      </c>
      <c r="M9" s="728">
        <f>SUM(M5:M8)</f>
        <v>48225679600</v>
      </c>
      <c r="N9" s="728">
        <f>SUM(N5:N8)</f>
        <v>61046726400</v>
      </c>
      <c r="O9" s="728">
        <f>SUM(O5:O8)</f>
        <v>61668904320</v>
      </c>
      <c r="P9" s="728">
        <f>SUM(P5:P8)</f>
        <v>63679375040</v>
      </c>
      <c r="Q9" s="889">
        <f>SUM(Q5:Q8)</f>
        <v>74939192672</v>
      </c>
      <c r="R9" s="728">
        <f t="shared" si="0"/>
        <v>11259817632</v>
      </c>
    </row>
    <row r="10" spans="1:19" ht="17.45" customHeight="1">
      <c r="A10" s="628">
        <v>220</v>
      </c>
      <c r="B10" s="308" t="s">
        <v>225</v>
      </c>
      <c r="C10" s="308"/>
      <c r="D10" s="308"/>
      <c r="E10" s="308"/>
      <c r="F10" s="308"/>
      <c r="G10" s="308"/>
      <c r="H10" s="308"/>
      <c r="I10" s="308"/>
      <c r="J10" s="308"/>
      <c r="K10" s="723"/>
      <c r="L10" s="723"/>
      <c r="M10" s="723"/>
      <c r="N10" s="723"/>
      <c r="O10" s="723"/>
      <c r="P10" s="723"/>
      <c r="Q10" s="874"/>
      <c r="R10" s="723">
        <f t="shared" si="0"/>
        <v>0</v>
      </c>
    </row>
    <row r="11" spans="1:19" ht="17.45" customHeight="1">
      <c r="A11" s="628">
        <v>2210</v>
      </c>
      <c r="B11" s="308" t="s">
        <v>226</v>
      </c>
      <c r="C11" s="307"/>
      <c r="D11" s="307"/>
      <c r="E11" s="307"/>
      <c r="F11" s="307"/>
      <c r="G11" s="307"/>
      <c r="H11" s="307"/>
      <c r="I11" s="307"/>
      <c r="J11" s="307"/>
      <c r="K11" s="723"/>
      <c r="L11" s="723"/>
      <c r="M11" s="723"/>
      <c r="N11" s="723"/>
      <c r="O11" s="723"/>
      <c r="P11" s="723"/>
      <c r="Q11" s="874"/>
      <c r="R11" s="723">
        <f t="shared" si="0"/>
        <v>0</v>
      </c>
    </row>
    <row r="12" spans="1:19" ht="17.45" customHeight="1">
      <c r="A12" s="632">
        <v>22101</v>
      </c>
      <c r="B12" s="307" t="s">
        <v>33</v>
      </c>
      <c r="C12" s="307"/>
      <c r="D12" s="307"/>
      <c r="E12" s="307"/>
      <c r="F12" s="307"/>
      <c r="G12" s="307"/>
      <c r="H12" s="307"/>
      <c r="I12" s="307"/>
      <c r="J12" s="307"/>
      <c r="K12" s="723">
        <v>33516000</v>
      </c>
      <c r="L12" s="723">
        <f>33516000*70%</f>
        <v>23461200</v>
      </c>
      <c r="M12" s="723">
        <f>33516000*70%</f>
        <v>23461200</v>
      </c>
      <c r="N12" s="723">
        <f>33516000*70%</f>
        <v>23461200</v>
      </c>
      <c r="O12" s="723">
        <f>33516000*70%</f>
        <v>23461200</v>
      </c>
      <c r="P12" s="723">
        <v>100000000</v>
      </c>
      <c r="Q12" s="874">
        <v>100000000</v>
      </c>
      <c r="R12" s="723">
        <f t="shared" si="0"/>
        <v>0</v>
      </c>
    </row>
    <row r="13" spans="1:19" ht="17.45" customHeight="1">
      <c r="A13" s="632">
        <v>22104</v>
      </c>
      <c r="B13" s="307" t="s">
        <v>157</v>
      </c>
      <c r="C13" s="307"/>
      <c r="D13" s="307"/>
      <c r="E13" s="307"/>
      <c r="F13" s="307"/>
      <c r="G13" s="307"/>
      <c r="H13" s="307"/>
      <c r="I13" s="307"/>
      <c r="J13" s="307"/>
      <c r="K13" s="723">
        <v>71894940</v>
      </c>
      <c r="L13" s="723">
        <f>K13*70%</f>
        <v>50326458</v>
      </c>
      <c r="M13" s="723">
        <v>70326458</v>
      </c>
      <c r="N13" s="723">
        <v>70326458</v>
      </c>
      <c r="O13" s="723">
        <v>70326458</v>
      </c>
      <c r="P13" s="723">
        <v>100000000</v>
      </c>
      <c r="Q13" s="874">
        <v>100000000</v>
      </c>
      <c r="R13" s="723">
        <f t="shared" si="0"/>
        <v>0</v>
      </c>
    </row>
    <row r="14" spans="1:19" ht="17.45" customHeight="1">
      <c r="A14" s="632">
        <v>22105</v>
      </c>
      <c r="B14" s="307" t="s">
        <v>458</v>
      </c>
      <c r="C14" s="307"/>
      <c r="D14" s="307"/>
      <c r="E14" s="307"/>
      <c r="F14" s="307"/>
      <c r="G14" s="307"/>
      <c r="H14" s="307"/>
      <c r="I14" s="307"/>
      <c r="J14" s="307"/>
      <c r="K14" s="723"/>
      <c r="L14" s="723">
        <v>0</v>
      </c>
      <c r="M14" s="723">
        <v>32400000</v>
      </c>
      <c r="N14" s="723">
        <v>32400000</v>
      </c>
      <c r="O14" s="723">
        <v>32400000</v>
      </c>
      <c r="P14" s="723">
        <v>32400000</v>
      </c>
      <c r="Q14" s="874">
        <v>32400000</v>
      </c>
      <c r="R14" s="723">
        <f t="shared" si="0"/>
        <v>0</v>
      </c>
    </row>
    <row r="15" spans="1:19" ht="17.45" customHeight="1">
      <c r="A15" s="632">
        <v>22106</v>
      </c>
      <c r="B15" s="307" t="s">
        <v>575</v>
      </c>
      <c r="C15" s="307"/>
      <c r="D15" s="307"/>
      <c r="E15" s="307"/>
      <c r="F15" s="307"/>
      <c r="G15" s="307"/>
      <c r="H15" s="307"/>
      <c r="I15" s="307"/>
      <c r="J15" s="307"/>
      <c r="K15" s="723">
        <v>111720000</v>
      </c>
      <c r="L15" s="723">
        <f>111720000*70%</f>
        <v>78204000</v>
      </c>
      <c r="M15" s="723">
        <v>113000000</v>
      </c>
      <c r="N15" s="723">
        <v>1313000000</v>
      </c>
      <c r="O15" s="723">
        <v>2313000000</v>
      </c>
      <c r="P15" s="723">
        <f>O15</f>
        <v>2313000000</v>
      </c>
      <c r="Q15" s="874">
        <v>4313000000</v>
      </c>
      <c r="R15" s="723">
        <f t="shared" si="0"/>
        <v>2000000000</v>
      </c>
    </row>
    <row r="16" spans="1:19" ht="17.45" customHeight="1">
      <c r="A16" s="632">
        <v>22107</v>
      </c>
      <c r="B16" s="307" t="s">
        <v>48</v>
      </c>
      <c r="C16" s="307"/>
      <c r="D16" s="307"/>
      <c r="E16" s="307"/>
      <c r="F16" s="307"/>
      <c r="G16" s="307"/>
      <c r="H16" s="307"/>
      <c r="I16" s="307"/>
      <c r="J16" s="307"/>
      <c r="K16" s="723">
        <v>50000000</v>
      </c>
      <c r="L16" s="723">
        <v>35000000</v>
      </c>
      <c r="M16" s="723">
        <v>24500000</v>
      </c>
      <c r="N16" s="723">
        <f>M16</f>
        <v>24500000</v>
      </c>
      <c r="O16" s="723">
        <f>N16</f>
        <v>24500000</v>
      </c>
      <c r="P16" s="723">
        <v>100000000</v>
      </c>
      <c r="Q16" s="874">
        <v>100000000</v>
      </c>
      <c r="R16" s="723">
        <f t="shared" si="0"/>
        <v>0</v>
      </c>
    </row>
    <row r="17" spans="1:26" ht="17.45" customHeight="1">
      <c r="A17" s="632">
        <v>22108</v>
      </c>
      <c r="B17" s="307" t="s">
        <v>1076</v>
      </c>
      <c r="C17" s="307"/>
      <c r="D17" s="307"/>
      <c r="E17" s="307"/>
      <c r="F17" s="307"/>
      <c r="G17" s="307"/>
      <c r="H17" s="307"/>
      <c r="I17" s="307"/>
      <c r="J17" s="307"/>
      <c r="K17" s="723"/>
      <c r="L17" s="723"/>
      <c r="M17" s="723"/>
      <c r="N17" s="723">
        <v>0</v>
      </c>
      <c r="O17" s="723">
        <v>36000000</v>
      </c>
      <c r="P17" s="723">
        <v>36000000</v>
      </c>
      <c r="Q17" s="874">
        <v>36000000</v>
      </c>
      <c r="R17" s="723">
        <f t="shared" si="0"/>
        <v>0</v>
      </c>
    </row>
    <row r="18" spans="1:26" ht="17.45" customHeight="1">
      <c r="A18" s="632">
        <v>22109</v>
      </c>
      <c r="B18" s="307" t="s">
        <v>136</v>
      </c>
      <c r="C18" s="307"/>
      <c r="D18" s="307"/>
      <c r="E18" s="307"/>
      <c r="F18" s="307"/>
      <c r="G18" s="307"/>
      <c r="H18" s="307"/>
      <c r="I18" s="307"/>
      <c r="J18" s="307"/>
      <c r="K18" s="723">
        <v>10000000</v>
      </c>
      <c r="L18" s="723">
        <f>10000000*70%</f>
        <v>7000000</v>
      </c>
      <c r="M18" s="723">
        <v>17000000</v>
      </c>
      <c r="N18" s="723">
        <v>17000000</v>
      </c>
      <c r="O18" s="723">
        <v>17000000</v>
      </c>
      <c r="P18" s="723">
        <v>50000000</v>
      </c>
      <c r="Q18" s="874">
        <v>50000000</v>
      </c>
      <c r="R18" s="723">
        <f t="shared" si="0"/>
        <v>0</v>
      </c>
    </row>
    <row r="19" spans="1:26" ht="17.45" customHeight="1">
      <c r="A19" s="632">
        <v>22112</v>
      </c>
      <c r="B19" s="307" t="s">
        <v>1375</v>
      </c>
      <c r="C19" s="308"/>
      <c r="D19" s="308"/>
      <c r="E19" s="308"/>
      <c r="F19" s="308"/>
      <c r="G19" s="308"/>
      <c r="H19" s="308"/>
      <c r="I19" s="308"/>
      <c r="J19" s="308"/>
      <c r="K19" s="723">
        <v>75000000</v>
      </c>
      <c r="L19" s="723">
        <v>52500000</v>
      </c>
      <c r="M19" s="723">
        <v>300000000</v>
      </c>
      <c r="N19" s="723">
        <v>300000000</v>
      </c>
      <c r="O19" s="723">
        <v>300000000</v>
      </c>
      <c r="P19" s="723">
        <v>300000000</v>
      </c>
      <c r="Q19" s="874">
        <v>314364000</v>
      </c>
      <c r="R19" s="723">
        <f t="shared" si="0"/>
        <v>14364000</v>
      </c>
    </row>
    <row r="20" spans="1:26" ht="17.45" customHeight="1">
      <c r="A20" s="632">
        <v>22125</v>
      </c>
      <c r="B20" s="307" t="s">
        <v>1216</v>
      </c>
      <c r="C20" s="308"/>
      <c r="D20" s="308"/>
      <c r="E20" s="308"/>
      <c r="F20" s="308"/>
      <c r="G20" s="308"/>
      <c r="H20" s="308"/>
      <c r="I20" s="308"/>
      <c r="J20" s="308"/>
      <c r="K20" s="723"/>
      <c r="L20" s="723"/>
      <c r="M20" s="723"/>
      <c r="N20" s="723"/>
      <c r="O20" s="723">
        <v>0</v>
      </c>
      <c r="P20" s="723">
        <v>50000000</v>
      </c>
      <c r="Q20" s="874">
        <v>100000000</v>
      </c>
      <c r="R20" s="723">
        <f t="shared" si="0"/>
        <v>50000000</v>
      </c>
      <c r="Z20" s="275" t="s">
        <v>4</v>
      </c>
    </row>
    <row r="21" spans="1:26" ht="17.45" customHeight="1">
      <c r="A21" s="632">
        <v>22128</v>
      </c>
      <c r="B21" s="307" t="s">
        <v>1275</v>
      </c>
      <c r="C21" s="308"/>
      <c r="D21" s="308"/>
      <c r="E21" s="308"/>
      <c r="F21" s="308"/>
      <c r="G21" s="308"/>
      <c r="H21" s="308"/>
      <c r="I21" s="308"/>
      <c r="J21" s="308"/>
      <c r="K21" s="723"/>
      <c r="L21" s="723"/>
      <c r="M21" s="723"/>
      <c r="N21" s="723"/>
      <c r="O21" s="723">
        <v>0</v>
      </c>
      <c r="P21" s="723">
        <v>100000000</v>
      </c>
      <c r="Q21" s="874">
        <v>100000000</v>
      </c>
      <c r="R21" s="723">
        <f t="shared" si="0"/>
        <v>0</v>
      </c>
      <c r="Z21" s="275"/>
    </row>
    <row r="22" spans="1:26" ht="17.45" customHeight="1">
      <c r="A22" s="632">
        <v>22129</v>
      </c>
      <c r="B22" s="307" t="s">
        <v>359</v>
      </c>
      <c r="C22" s="307"/>
      <c r="D22" s="307"/>
      <c r="E22" s="307"/>
      <c r="F22" s="307"/>
      <c r="G22" s="307"/>
      <c r="H22" s="307"/>
      <c r="I22" s="307"/>
      <c r="J22" s="307"/>
      <c r="K22" s="723">
        <v>10000000</v>
      </c>
      <c r="L22" s="723">
        <f>10000000*70%</f>
        <v>7000000</v>
      </c>
      <c r="M22" s="723">
        <f>L22</f>
        <v>7000000</v>
      </c>
      <c r="N22" s="723">
        <f>M22</f>
        <v>7000000</v>
      </c>
      <c r="O22" s="723">
        <f>N22</f>
        <v>7000000</v>
      </c>
      <c r="P22" s="723">
        <f>O22</f>
        <v>7000000</v>
      </c>
      <c r="Q22" s="874">
        <f>P22</f>
        <v>7000000</v>
      </c>
      <c r="R22" s="723">
        <f t="shared" si="0"/>
        <v>0</v>
      </c>
    </row>
    <row r="23" spans="1:26" ht="17.45" customHeight="1">
      <c r="A23" s="632">
        <v>22134</v>
      </c>
      <c r="B23" s="307" t="s">
        <v>912</v>
      </c>
      <c r="C23" s="307"/>
      <c r="D23" s="307"/>
      <c r="E23" s="307"/>
      <c r="F23" s="307"/>
      <c r="G23" s="307"/>
      <c r="H23" s="307"/>
      <c r="I23" s="307"/>
      <c r="J23" s="307"/>
      <c r="K23" s="723"/>
      <c r="L23" s="723"/>
      <c r="M23" s="723">
        <v>0</v>
      </c>
      <c r="N23" s="723">
        <v>300000000</v>
      </c>
      <c r="O23" s="723">
        <v>300000000</v>
      </c>
      <c r="P23" s="723">
        <f>O23</f>
        <v>300000000</v>
      </c>
      <c r="Q23" s="874">
        <f>P23</f>
        <v>300000000</v>
      </c>
      <c r="R23" s="723">
        <f t="shared" si="0"/>
        <v>0</v>
      </c>
    </row>
    <row r="24" spans="1:26" ht="17.45" customHeight="1">
      <c r="A24" s="632">
        <v>22137</v>
      </c>
      <c r="B24" s="307" t="s">
        <v>272</v>
      </c>
      <c r="C24" s="307"/>
      <c r="D24" s="307"/>
      <c r="E24" s="307"/>
      <c r="F24" s="307"/>
      <c r="G24" s="307"/>
      <c r="H24" s="307"/>
      <c r="I24" s="307"/>
      <c r="J24" s="307"/>
      <c r="K24" s="723">
        <v>10000000</v>
      </c>
      <c r="L24" s="723">
        <f>10000000*70%</f>
        <v>7000000</v>
      </c>
      <c r="M24" s="723">
        <f>10000000*70%</f>
        <v>7000000</v>
      </c>
      <c r="N24" s="723">
        <f>10000000*70%</f>
        <v>7000000</v>
      </c>
      <c r="O24" s="723">
        <f>10000000*70%</f>
        <v>7000000</v>
      </c>
      <c r="P24" s="723">
        <v>38000000</v>
      </c>
      <c r="Q24" s="874">
        <v>38000000</v>
      </c>
      <c r="R24" s="723">
        <f t="shared" si="0"/>
        <v>0</v>
      </c>
    </row>
    <row r="25" spans="1:26" ht="17.45" customHeight="1">
      <c r="A25" s="632">
        <v>22166</v>
      </c>
      <c r="B25" s="307" t="s">
        <v>1173</v>
      </c>
      <c r="C25" s="307"/>
      <c r="D25" s="307"/>
      <c r="E25" s="307"/>
      <c r="F25" s="307"/>
      <c r="G25" s="307"/>
      <c r="H25" s="307"/>
      <c r="I25" s="307"/>
      <c r="J25" s="307"/>
      <c r="K25" s="723"/>
      <c r="L25" s="723"/>
      <c r="M25" s="723"/>
      <c r="N25" s="723"/>
      <c r="O25" s="723"/>
      <c r="P25" s="723">
        <v>300000000</v>
      </c>
      <c r="Q25" s="874">
        <v>500000000</v>
      </c>
      <c r="R25" s="723">
        <f t="shared" si="0"/>
        <v>200000000</v>
      </c>
    </row>
    <row r="26" spans="1:26" ht="17.45" customHeight="1">
      <c r="A26" s="632">
        <v>22185</v>
      </c>
      <c r="B26" s="307" t="s">
        <v>855</v>
      </c>
      <c r="C26" s="307"/>
      <c r="D26" s="307"/>
      <c r="E26" s="307"/>
      <c r="F26" s="307"/>
      <c r="G26" s="307"/>
      <c r="H26" s="307"/>
      <c r="I26" s="307"/>
      <c r="J26" s="307"/>
      <c r="K26" s="723"/>
      <c r="L26" s="723"/>
      <c r="M26" s="723">
        <v>60000000</v>
      </c>
      <c r="N26" s="723">
        <v>120000000</v>
      </c>
      <c r="O26" s="723">
        <v>180000000</v>
      </c>
      <c r="P26" s="723">
        <v>180000000</v>
      </c>
      <c r="Q26" s="874">
        <v>180000000</v>
      </c>
      <c r="R26" s="723">
        <f t="shared" si="0"/>
        <v>0</v>
      </c>
    </row>
    <row r="27" spans="1:26" ht="17.45" customHeight="1">
      <c r="A27" s="632">
        <v>22194</v>
      </c>
      <c r="B27" s="307" t="s">
        <v>1221</v>
      </c>
      <c r="C27" s="307"/>
      <c r="D27" s="307"/>
      <c r="E27" s="307"/>
      <c r="F27" s="307"/>
      <c r="G27" s="307"/>
      <c r="H27" s="307"/>
      <c r="I27" s="307"/>
      <c r="J27" s="307"/>
      <c r="K27" s="723"/>
      <c r="L27" s="723"/>
      <c r="M27" s="723"/>
      <c r="N27" s="723"/>
      <c r="O27" s="723">
        <v>0</v>
      </c>
      <c r="P27" s="723">
        <v>250000000</v>
      </c>
      <c r="Q27" s="874">
        <v>500000000</v>
      </c>
      <c r="R27" s="723">
        <f t="shared" si="0"/>
        <v>250000000</v>
      </c>
    </row>
    <row r="28" spans="1:26" ht="17.45" customHeight="1">
      <c r="A28" s="632"/>
      <c r="B28" s="308" t="s">
        <v>92</v>
      </c>
      <c r="C28" s="307"/>
      <c r="D28" s="307"/>
      <c r="E28" s="307"/>
      <c r="F28" s="307"/>
      <c r="G28" s="307"/>
      <c r="H28" s="307"/>
      <c r="I28" s="307"/>
      <c r="J28" s="307"/>
      <c r="K28" s="728">
        <f>SUM(K12:K24)</f>
        <v>372130940</v>
      </c>
      <c r="L28" s="728">
        <f>SUM(L12:L24)</f>
        <v>260491658</v>
      </c>
      <c r="M28" s="728">
        <f>SUM(M12:M26)</f>
        <v>654687658</v>
      </c>
      <c r="N28" s="728">
        <f>SUM(N12:N26)</f>
        <v>2214687658</v>
      </c>
      <c r="O28" s="728">
        <f>SUM(O12:O26)</f>
        <v>3310687658</v>
      </c>
      <c r="P28" s="728">
        <f>SUM(P12:P27)</f>
        <v>4256400000</v>
      </c>
      <c r="Q28" s="889">
        <f>SUM(Q12:Q27)</f>
        <v>6770764000</v>
      </c>
      <c r="R28" s="728">
        <f t="shared" si="0"/>
        <v>2514364000</v>
      </c>
    </row>
    <row r="29" spans="1:26" ht="17.45" customHeight="1">
      <c r="A29" s="628">
        <v>2220</v>
      </c>
      <c r="B29" s="308" t="s">
        <v>240</v>
      </c>
      <c r="C29" s="307"/>
      <c r="D29" s="307"/>
      <c r="E29" s="307"/>
      <c r="F29" s="307"/>
      <c r="G29" s="307"/>
      <c r="H29" s="307"/>
      <c r="I29" s="307"/>
      <c r="J29" s="307"/>
      <c r="K29" s="723"/>
      <c r="L29" s="723"/>
      <c r="M29" s="723"/>
      <c r="N29" s="723"/>
      <c r="O29" s="723"/>
      <c r="P29" s="723"/>
      <c r="Q29" s="874"/>
      <c r="R29" s="723">
        <f t="shared" si="0"/>
        <v>0</v>
      </c>
    </row>
    <row r="30" spans="1:26" ht="17.45" customHeight="1">
      <c r="A30" s="632">
        <v>22202</v>
      </c>
      <c r="B30" s="307" t="s">
        <v>133</v>
      </c>
      <c r="C30" s="307"/>
      <c r="D30" s="307"/>
      <c r="E30" s="307"/>
      <c r="F30" s="307"/>
      <c r="G30" s="307"/>
      <c r="H30" s="307"/>
      <c r="I30" s="307"/>
      <c r="J30" s="307"/>
      <c r="K30" s="723">
        <v>720000000</v>
      </c>
      <c r="L30" s="723">
        <v>504000000</v>
      </c>
      <c r="M30" s="723">
        <f>L30</f>
        <v>504000000</v>
      </c>
      <c r="N30" s="723">
        <v>604000000</v>
      </c>
      <c r="O30" s="723">
        <v>704000000</v>
      </c>
      <c r="P30" s="723">
        <v>854000000</v>
      </c>
      <c r="Q30" s="874">
        <v>954000000</v>
      </c>
      <c r="R30" s="723">
        <f t="shared" si="0"/>
        <v>100000000</v>
      </c>
    </row>
    <row r="31" spans="1:26" ht="17.45" customHeight="1">
      <c r="A31" s="632">
        <v>22203</v>
      </c>
      <c r="B31" s="307" t="s">
        <v>127</v>
      </c>
      <c r="C31" s="307"/>
      <c r="D31" s="307"/>
      <c r="E31" s="307"/>
      <c r="F31" s="307"/>
      <c r="G31" s="307"/>
      <c r="H31" s="307"/>
      <c r="I31" s="307"/>
      <c r="J31" s="307"/>
      <c r="K31" s="723">
        <v>40000000</v>
      </c>
      <c r="L31" s="723">
        <v>28000000</v>
      </c>
      <c r="M31" s="723">
        <v>28000000</v>
      </c>
      <c r="N31" s="723">
        <v>38000000</v>
      </c>
      <c r="O31" s="723">
        <v>38000000</v>
      </c>
      <c r="P31" s="723">
        <v>100000000</v>
      </c>
      <c r="Q31" s="874">
        <v>200000000</v>
      </c>
      <c r="R31" s="723">
        <f t="shared" si="0"/>
        <v>100000000</v>
      </c>
    </row>
    <row r="32" spans="1:26" ht="17.45" customHeight="1">
      <c r="A32" s="632">
        <v>22204</v>
      </c>
      <c r="B32" s="307" t="s">
        <v>1204</v>
      </c>
      <c r="C32" s="307"/>
      <c r="D32" s="307"/>
      <c r="E32" s="307"/>
      <c r="F32" s="307"/>
      <c r="G32" s="307"/>
      <c r="H32" s="307"/>
      <c r="I32" s="307"/>
      <c r="J32" s="307"/>
      <c r="K32" s="723">
        <v>14896000</v>
      </c>
      <c r="L32" s="723">
        <f>14896000*70%</f>
        <v>10427200</v>
      </c>
      <c r="M32" s="723">
        <f>14896000*70%</f>
        <v>10427200</v>
      </c>
      <c r="N32" s="723">
        <f>14896000*70%</f>
        <v>10427200</v>
      </c>
      <c r="O32" s="723">
        <f>14896000*70%</f>
        <v>10427200</v>
      </c>
      <c r="P32" s="723">
        <f>O32</f>
        <v>10427200</v>
      </c>
      <c r="Q32" s="874">
        <f>P32</f>
        <v>10427200</v>
      </c>
      <c r="R32" s="723">
        <f t="shared" si="0"/>
        <v>0</v>
      </c>
    </row>
    <row r="33" spans="1:18" ht="17.45" customHeight="1">
      <c r="A33" s="632">
        <v>22208</v>
      </c>
      <c r="B33" s="307" t="s">
        <v>576</v>
      </c>
      <c r="C33" s="307"/>
      <c r="D33" s="307"/>
      <c r="E33" s="307"/>
      <c r="F33" s="307"/>
      <c r="G33" s="307"/>
      <c r="H33" s="307"/>
      <c r="I33" s="307"/>
      <c r="J33" s="307"/>
      <c r="K33" s="723"/>
      <c r="L33" s="723">
        <v>0</v>
      </c>
      <c r="M33" s="723">
        <v>60000000</v>
      </c>
      <c r="N33" s="723">
        <v>60000000</v>
      </c>
      <c r="O33" s="723">
        <v>60000000</v>
      </c>
      <c r="P33" s="723">
        <v>165000000</v>
      </c>
      <c r="Q33" s="874">
        <v>165000000</v>
      </c>
      <c r="R33" s="723">
        <f t="shared" si="0"/>
        <v>0</v>
      </c>
    </row>
    <row r="34" spans="1:18" ht="17.45" customHeight="1">
      <c r="A34" s="632">
        <v>22208</v>
      </c>
      <c r="B34" s="307" t="s">
        <v>910</v>
      </c>
      <c r="C34" s="307"/>
      <c r="D34" s="307"/>
      <c r="E34" s="307"/>
      <c r="F34" s="307"/>
      <c r="G34" s="307"/>
      <c r="H34" s="307"/>
      <c r="I34" s="307"/>
      <c r="J34" s="307"/>
      <c r="K34" s="723"/>
      <c r="L34" s="723"/>
      <c r="M34" s="723">
        <v>0</v>
      </c>
      <c r="N34" s="723">
        <v>60000000</v>
      </c>
      <c r="O34" s="723">
        <v>60000000</v>
      </c>
      <c r="P34" s="723">
        <v>165000000</v>
      </c>
      <c r="Q34" s="874">
        <v>165000000</v>
      </c>
      <c r="R34" s="723">
        <f t="shared" si="0"/>
        <v>0</v>
      </c>
    </row>
    <row r="35" spans="1:18" ht="17.45" customHeight="1">
      <c r="A35" s="632">
        <v>22208</v>
      </c>
      <c r="B35" s="307" t="s">
        <v>911</v>
      </c>
      <c r="C35" s="307"/>
      <c r="D35" s="307"/>
      <c r="E35" s="307"/>
      <c r="F35" s="307"/>
      <c r="G35" s="307"/>
      <c r="H35" s="307"/>
      <c r="I35" s="307"/>
      <c r="J35" s="307"/>
      <c r="K35" s="723"/>
      <c r="L35" s="723"/>
      <c r="M35" s="723"/>
      <c r="N35" s="723">
        <v>120000000</v>
      </c>
      <c r="O35" s="723">
        <v>120000000</v>
      </c>
      <c r="P35" s="723">
        <v>320000000</v>
      </c>
      <c r="Q35" s="874">
        <v>320000000</v>
      </c>
      <c r="R35" s="723">
        <f t="shared" si="0"/>
        <v>0</v>
      </c>
    </row>
    <row r="36" spans="1:18" ht="17.45" customHeight="1">
      <c r="A36" s="632"/>
      <c r="B36" s="308" t="s">
        <v>92</v>
      </c>
      <c r="C36" s="307"/>
      <c r="D36" s="307"/>
      <c r="E36" s="307"/>
      <c r="F36" s="307"/>
      <c r="G36" s="307"/>
      <c r="H36" s="307"/>
      <c r="I36" s="307"/>
      <c r="J36" s="307"/>
      <c r="K36" s="728">
        <f t="shared" ref="K36:O36" si="1">SUM(K30:K35)</f>
        <v>774896000</v>
      </c>
      <c r="L36" s="728">
        <f t="shared" si="1"/>
        <v>542427200</v>
      </c>
      <c r="M36" s="728">
        <f t="shared" si="1"/>
        <v>602427200</v>
      </c>
      <c r="N36" s="728">
        <f t="shared" si="1"/>
        <v>892427200</v>
      </c>
      <c r="O36" s="728">
        <f t="shared" si="1"/>
        <v>992427200</v>
      </c>
      <c r="P36" s="728">
        <f>SUM(P30:P35)</f>
        <v>1614427200</v>
      </c>
      <c r="Q36" s="889">
        <f>SUM(Q30:Q35)</f>
        <v>1814427200</v>
      </c>
      <c r="R36" s="728">
        <f t="shared" si="0"/>
        <v>200000000</v>
      </c>
    </row>
    <row r="37" spans="1:18" ht="17.45" customHeight="1">
      <c r="A37" s="628">
        <v>2230</v>
      </c>
      <c r="B37" s="308" t="s">
        <v>130</v>
      </c>
      <c r="C37" s="307"/>
      <c r="D37" s="307"/>
      <c r="E37" s="307"/>
      <c r="F37" s="307"/>
      <c r="G37" s="307"/>
      <c r="H37" s="307"/>
      <c r="I37" s="307"/>
      <c r="J37" s="307"/>
      <c r="K37" s="723"/>
      <c r="L37" s="723"/>
      <c r="M37" s="723"/>
      <c r="N37" s="723"/>
      <c r="O37" s="723"/>
      <c r="P37" s="723"/>
      <c r="Q37" s="874"/>
      <c r="R37" s="723">
        <f t="shared" si="0"/>
        <v>0</v>
      </c>
    </row>
    <row r="38" spans="1:18" ht="17.45" customHeight="1">
      <c r="A38" s="632">
        <v>22301</v>
      </c>
      <c r="B38" s="307" t="s">
        <v>49</v>
      </c>
      <c r="C38" s="307"/>
      <c r="D38" s="307"/>
      <c r="E38" s="307"/>
      <c r="F38" s="307"/>
      <c r="G38" s="307"/>
      <c r="H38" s="307"/>
      <c r="I38" s="307"/>
      <c r="J38" s="307"/>
      <c r="K38" s="723">
        <v>126000000</v>
      </c>
      <c r="L38" s="723">
        <v>88200000</v>
      </c>
      <c r="M38" s="723">
        <v>120000000</v>
      </c>
      <c r="N38" s="723">
        <v>136000000</v>
      </c>
      <c r="O38" s="723">
        <v>156000000</v>
      </c>
      <c r="P38" s="723">
        <v>306000000</v>
      </c>
      <c r="Q38" s="874">
        <v>456000000</v>
      </c>
      <c r="R38" s="723">
        <f t="shared" si="0"/>
        <v>150000000</v>
      </c>
    </row>
    <row r="39" spans="1:18" ht="17.45" customHeight="1">
      <c r="A39" s="632">
        <v>22302</v>
      </c>
      <c r="B39" s="307" t="s">
        <v>249</v>
      </c>
      <c r="C39" s="307"/>
      <c r="D39" s="307"/>
      <c r="E39" s="307"/>
      <c r="F39" s="307"/>
      <c r="G39" s="307"/>
      <c r="H39" s="307"/>
      <c r="I39" s="307"/>
      <c r="J39" s="307"/>
      <c r="K39" s="723">
        <v>3724000</v>
      </c>
      <c r="L39" s="723">
        <f>3724000*70%</f>
        <v>2606800</v>
      </c>
      <c r="M39" s="723">
        <v>22606800</v>
      </c>
      <c r="N39" s="723">
        <v>22606800</v>
      </c>
      <c r="O39" s="723">
        <v>22606800</v>
      </c>
      <c r="P39" s="723">
        <v>22606800</v>
      </c>
      <c r="Q39" s="874">
        <v>50000000</v>
      </c>
      <c r="R39" s="723">
        <f t="shared" si="0"/>
        <v>27393200</v>
      </c>
    </row>
    <row r="40" spans="1:18" ht="17.45" customHeight="1">
      <c r="A40" s="632">
        <v>22304</v>
      </c>
      <c r="B40" s="307" t="s">
        <v>1372</v>
      </c>
      <c r="C40" s="307"/>
      <c r="D40" s="307"/>
      <c r="E40" s="307"/>
      <c r="F40" s="307"/>
      <c r="G40" s="307"/>
      <c r="H40" s="307"/>
      <c r="I40" s="307"/>
      <c r="J40" s="307"/>
      <c r="K40" s="723">
        <v>37240000</v>
      </c>
      <c r="L40" s="723">
        <f>115000000*70%</f>
        <v>80500000</v>
      </c>
      <c r="M40" s="723">
        <f>115000000*70%</f>
        <v>80500000</v>
      </c>
      <c r="N40" s="723">
        <f>115000000*70%</f>
        <v>80500000</v>
      </c>
      <c r="O40" s="723">
        <v>2420000000</v>
      </c>
      <c r="P40" s="723">
        <v>2220000000</v>
      </c>
      <c r="Q40" s="874">
        <v>2220000000</v>
      </c>
      <c r="R40" s="723">
        <f t="shared" si="0"/>
        <v>0</v>
      </c>
    </row>
    <row r="41" spans="1:18" ht="17.45" customHeight="1">
      <c r="A41" s="632">
        <v>22313</v>
      </c>
      <c r="B41" s="307" t="s">
        <v>251</v>
      </c>
      <c r="C41" s="307"/>
      <c r="D41" s="307"/>
      <c r="E41" s="307"/>
      <c r="F41" s="307"/>
      <c r="G41" s="307"/>
      <c r="H41" s="307"/>
      <c r="I41" s="307"/>
      <c r="J41" s="307"/>
      <c r="K41" s="723">
        <v>37240000</v>
      </c>
      <c r="L41" s="723">
        <f>37240000*70%</f>
        <v>26068000</v>
      </c>
      <c r="M41" s="723">
        <f>37240000*70%</f>
        <v>26068000</v>
      </c>
      <c r="N41" s="723">
        <v>26068000</v>
      </c>
      <c r="O41" s="723">
        <v>0</v>
      </c>
      <c r="P41" s="723">
        <v>50000000</v>
      </c>
      <c r="Q41" s="874">
        <v>50000000</v>
      </c>
      <c r="R41" s="723">
        <f t="shared" si="0"/>
        <v>0</v>
      </c>
    </row>
    <row r="42" spans="1:18" ht="17.45" customHeight="1">
      <c r="A42" s="632"/>
      <c r="B42" s="308" t="s">
        <v>92</v>
      </c>
      <c r="C42" s="307"/>
      <c r="D42" s="307"/>
      <c r="E42" s="307"/>
      <c r="F42" s="307"/>
      <c r="G42" s="307"/>
      <c r="H42" s="307"/>
      <c r="I42" s="307"/>
      <c r="J42" s="307"/>
      <c r="K42" s="728">
        <f t="shared" ref="K42:N42" si="2">SUM(K38:K41)</f>
        <v>204204000</v>
      </c>
      <c r="L42" s="728">
        <f t="shared" si="2"/>
        <v>197374800</v>
      </c>
      <c r="M42" s="728">
        <f t="shared" si="2"/>
        <v>249174800</v>
      </c>
      <c r="N42" s="728">
        <f t="shared" si="2"/>
        <v>265174800</v>
      </c>
      <c r="O42" s="728">
        <f>SUM(O38:O41)</f>
        <v>2598606800</v>
      </c>
      <c r="P42" s="728">
        <f>SUM(P38:P41)</f>
        <v>2598606800</v>
      </c>
      <c r="Q42" s="889">
        <f>SUM(Q38:Q41)</f>
        <v>2776000000</v>
      </c>
      <c r="R42" s="728">
        <f t="shared" si="0"/>
        <v>177393200</v>
      </c>
    </row>
    <row r="43" spans="1:18" ht="17.45" customHeight="1">
      <c r="A43" s="628">
        <v>270</v>
      </c>
      <c r="B43" s="308" t="s">
        <v>253</v>
      </c>
      <c r="C43" s="307"/>
      <c r="D43" s="307"/>
      <c r="E43" s="307"/>
      <c r="F43" s="307"/>
      <c r="G43" s="307"/>
      <c r="H43" s="307"/>
      <c r="I43" s="307"/>
      <c r="J43" s="307"/>
      <c r="K43" s="723"/>
      <c r="L43" s="723"/>
      <c r="M43" s="723"/>
      <c r="N43" s="723"/>
      <c r="O43" s="723"/>
      <c r="P43" s="723"/>
      <c r="Q43" s="874"/>
      <c r="R43" s="723">
        <f t="shared" si="0"/>
        <v>0</v>
      </c>
    </row>
    <row r="44" spans="1:18" ht="17.45" customHeight="1">
      <c r="A44" s="628">
        <v>2710</v>
      </c>
      <c r="B44" s="308" t="s">
        <v>252</v>
      </c>
      <c r="C44" s="307"/>
      <c r="D44" s="307"/>
      <c r="E44" s="307"/>
      <c r="F44" s="307"/>
      <c r="G44" s="307"/>
      <c r="H44" s="307"/>
      <c r="I44" s="307"/>
      <c r="J44" s="307"/>
      <c r="K44" s="723"/>
      <c r="L44" s="723"/>
      <c r="M44" s="723"/>
      <c r="N44" s="723"/>
      <c r="O44" s="723"/>
      <c r="P44" s="723"/>
      <c r="Q44" s="874"/>
      <c r="R44" s="723">
        <f t="shared" si="0"/>
        <v>0</v>
      </c>
    </row>
    <row r="45" spans="1:18" s="275" customFormat="1" ht="17.45" customHeight="1">
      <c r="A45" s="632">
        <v>27601</v>
      </c>
      <c r="B45" s="307" t="s">
        <v>1402</v>
      </c>
      <c r="C45" s="307"/>
      <c r="D45" s="307"/>
      <c r="E45" s="307"/>
      <c r="F45" s="307"/>
      <c r="G45" s="307"/>
      <c r="H45" s="307"/>
      <c r="I45" s="307"/>
      <c r="J45" s="307"/>
      <c r="K45" s="723"/>
      <c r="L45" s="723"/>
      <c r="M45" s="723">
        <v>0</v>
      </c>
      <c r="N45" s="723">
        <v>60000000</v>
      </c>
      <c r="O45" s="723">
        <v>60000000</v>
      </c>
      <c r="P45" s="723">
        <f>O45</f>
        <v>60000000</v>
      </c>
      <c r="Q45" s="874">
        <v>960000000</v>
      </c>
      <c r="R45" s="723">
        <f t="shared" si="0"/>
        <v>900000000</v>
      </c>
    </row>
    <row r="46" spans="1:18" s="275" customFormat="1" ht="17.45" customHeight="1">
      <c r="A46" s="632">
        <v>27402</v>
      </c>
      <c r="B46" s="307" t="s">
        <v>1202</v>
      </c>
      <c r="C46" s="307"/>
      <c r="D46" s="307"/>
      <c r="E46" s="307"/>
      <c r="F46" s="307"/>
      <c r="G46" s="307"/>
      <c r="H46" s="307"/>
      <c r="I46" s="307"/>
      <c r="J46" s="307"/>
      <c r="K46" s="723"/>
      <c r="L46" s="723"/>
      <c r="M46" s="723"/>
      <c r="N46" s="723"/>
      <c r="O46" s="723"/>
      <c r="P46" s="723">
        <v>300000000</v>
      </c>
      <c r="Q46" s="874">
        <v>0</v>
      </c>
      <c r="R46" s="723">
        <f t="shared" si="0"/>
        <v>-300000000</v>
      </c>
    </row>
    <row r="47" spans="1:18" ht="17.45" customHeight="1">
      <c r="A47" s="632">
        <v>27502</v>
      </c>
      <c r="B47" s="307" t="s">
        <v>148</v>
      </c>
      <c r="C47" s="726"/>
      <c r="D47" s="308">
        <v>5020564000</v>
      </c>
      <c r="E47" s="726"/>
      <c r="F47" s="634">
        <v>0</v>
      </c>
      <c r="G47" s="634"/>
      <c r="H47" s="634"/>
      <c r="I47" s="634"/>
      <c r="J47" s="634"/>
      <c r="K47" s="727">
        <v>2234400</v>
      </c>
      <c r="L47" s="727">
        <f>2234400*70%</f>
        <v>1564080</v>
      </c>
      <c r="M47" s="727">
        <v>21564080</v>
      </c>
      <c r="N47" s="727">
        <v>21564080</v>
      </c>
      <c r="O47" s="727">
        <v>21564080</v>
      </c>
      <c r="P47" s="727">
        <v>21564080</v>
      </c>
      <c r="Q47" s="890">
        <v>21564080</v>
      </c>
      <c r="R47" s="723">
        <f t="shared" si="0"/>
        <v>0</v>
      </c>
    </row>
    <row r="48" spans="1:18" ht="17.45" customHeight="1">
      <c r="A48" s="632"/>
      <c r="B48" s="308" t="s">
        <v>92</v>
      </c>
      <c r="C48" s="626"/>
      <c r="D48" s="626"/>
      <c r="E48" s="626"/>
      <c r="F48" s="626">
        <f>1386274192-71600000-798000-176160000-12600000</f>
        <v>1125116192</v>
      </c>
      <c r="G48" s="626"/>
      <c r="H48" s="626"/>
      <c r="I48" s="626"/>
      <c r="J48" s="626"/>
      <c r="K48" s="729">
        <f>SUM(K47:K47)</f>
        <v>2234400</v>
      </c>
      <c r="L48" s="729">
        <f>SUM(L47:L47)</f>
        <v>1564080</v>
      </c>
      <c r="M48" s="729">
        <f>SUM(M47:M47)</f>
        <v>21564080</v>
      </c>
      <c r="N48" s="729">
        <f>SUM(N45:N47)</f>
        <v>81564080</v>
      </c>
      <c r="O48" s="729">
        <f>SUM(O45:O47)</f>
        <v>81564080</v>
      </c>
      <c r="P48" s="729">
        <f>SUM(P45:P47)</f>
        <v>381564080</v>
      </c>
      <c r="Q48" s="891">
        <f>SUM(Q45:Q47)</f>
        <v>981564080</v>
      </c>
      <c r="R48" s="728">
        <f t="shared" si="0"/>
        <v>600000000</v>
      </c>
    </row>
    <row r="49" spans="1:19" ht="17.45" customHeight="1">
      <c r="A49" s="628">
        <v>2720</v>
      </c>
      <c r="B49" s="308" t="s">
        <v>469</v>
      </c>
      <c r="C49" s="626"/>
      <c r="D49" s="626"/>
      <c r="E49" s="626"/>
      <c r="F49" s="626"/>
      <c r="G49" s="626"/>
      <c r="H49" s="626"/>
      <c r="I49" s="626"/>
      <c r="J49" s="626"/>
      <c r="K49" s="729"/>
      <c r="L49" s="729"/>
      <c r="M49" s="729"/>
      <c r="N49" s="729"/>
      <c r="O49" s="729"/>
      <c r="P49" s="729"/>
      <c r="Q49" s="891"/>
      <c r="R49" s="723">
        <f t="shared" si="0"/>
        <v>0</v>
      </c>
    </row>
    <row r="50" spans="1:19" ht="17.45" customHeight="1">
      <c r="A50" s="632">
        <v>27202</v>
      </c>
      <c r="B50" s="307" t="s">
        <v>1383</v>
      </c>
      <c r="C50" s="626"/>
      <c r="D50" s="626"/>
      <c r="E50" s="626"/>
      <c r="F50" s="626"/>
      <c r="G50" s="626"/>
      <c r="H50" s="626"/>
      <c r="I50" s="626"/>
      <c r="J50" s="626"/>
      <c r="K50" s="729"/>
      <c r="L50" s="729"/>
      <c r="M50" s="729"/>
      <c r="N50" s="729"/>
      <c r="O50" s="729">
        <v>0</v>
      </c>
      <c r="P50" s="727">
        <v>1440000000</v>
      </c>
      <c r="Q50" s="890">
        <v>600000000</v>
      </c>
      <c r="R50" s="723">
        <f t="shared" si="0"/>
        <v>-840000000</v>
      </c>
    </row>
    <row r="51" spans="1:19" ht="17.45" customHeight="1">
      <c r="A51" s="632">
        <v>27202</v>
      </c>
      <c r="B51" s="307" t="s">
        <v>1196</v>
      </c>
      <c r="C51" s="626"/>
      <c r="D51" s="626"/>
      <c r="E51" s="626"/>
      <c r="F51" s="626"/>
      <c r="G51" s="626"/>
      <c r="H51" s="626"/>
      <c r="I51" s="626"/>
      <c r="J51" s="626"/>
      <c r="K51" s="729"/>
      <c r="L51" s="729"/>
      <c r="M51" s="727">
        <v>0</v>
      </c>
      <c r="N51" s="727">
        <v>600000000</v>
      </c>
      <c r="O51" s="727">
        <v>480000000</v>
      </c>
      <c r="P51" s="727">
        <v>300000000</v>
      </c>
      <c r="Q51" s="890">
        <v>300000000</v>
      </c>
      <c r="R51" s="723">
        <f t="shared" si="0"/>
        <v>0</v>
      </c>
    </row>
    <row r="52" spans="1:19" ht="17.45" customHeight="1">
      <c r="A52" s="632">
        <v>27202</v>
      </c>
      <c r="B52" s="307" t="s">
        <v>1197</v>
      </c>
      <c r="C52" s="626"/>
      <c r="D52" s="626"/>
      <c r="E52" s="626"/>
      <c r="F52" s="626"/>
      <c r="G52" s="626"/>
      <c r="H52" s="626"/>
      <c r="I52" s="626"/>
      <c r="J52" s="626"/>
      <c r="K52" s="729"/>
      <c r="L52" s="729"/>
      <c r="M52" s="727"/>
      <c r="N52" s="727"/>
      <c r="O52" s="727">
        <v>0</v>
      </c>
      <c r="P52" s="727">
        <v>700000000</v>
      </c>
      <c r="Q52" s="890">
        <v>1000000000</v>
      </c>
      <c r="R52" s="723">
        <f t="shared" si="0"/>
        <v>300000000</v>
      </c>
    </row>
    <row r="53" spans="1:19" ht="17.45" customHeight="1">
      <c r="A53" s="632">
        <v>27202</v>
      </c>
      <c r="B53" s="307" t="s">
        <v>1429</v>
      </c>
      <c r="C53" s="626"/>
      <c r="D53" s="626"/>
      <c r="E53" s="626"/>
      <c r="F53" s="626"/>
      <c r="G53" s="626"/>
      <c r="H53" s="626"/>
      <c r="I53" s="626"/>
      <c r="J53" s="626"/>
      <c r="K53" s="729"/>
      <c r="L53" s="729"/>
      <c r="M53" s="727"/>
      <c r="N53" s="727"/>
      <c r="O53" s="727"/>
      <c r="P53" s="727">
        <v>0</v>
      </c>
      <c r="Q53" s="890">
        <v>600000000</v>
      </c>
      <c r="R53" s="723">
        <f t="shared" si="0"/>
        <v>600000000</v>
      </c>
    </row>
    <row r="54" spans="1:19" ht="17.45" customHeight="1">
      <c r="A54" s="632">
        <v>27202</v>
      </c>
      <c r="B54" s="307" t="s">
        <v>1410</v>
      </c>
      <c r="C54" s="626"/>
      <c r="D54" s="626"/>
      <c r="E54" s="626"/>
      <c r="F54" s="626"/>
      <c r="G54" s="626"/>
      <c r="H54" s="626"/>
      <c r="I54" s="626"/>
      <c r="J54" s="626"/>
      <c r="K54" s="729"/>
      <c r="L54" s="729"/>
      <c r="M54" s="727"/>
      <c r="N54" s="727"/>
      <c r="O54" s="727"/>
      <c r="P54" s="727">
        <v>0</v>
      </c>
      <c r="Q54" s="890">
        <v>3000000000</v>
      </c>
      <c r="R54" s="723">
        <f t="shared" si="0"/>
        <v>3000000000</v>
      </c>
    </row>
    <row r="55" spans="1:19" ht="17.45" customHeight="1">
      <c r="A55" s="632"/>
      <c r="B55" s="308" t="s">
        <v>92</v>
      </c>
      <c r="C55" s="626"/>
      <c r="D55" s="626"/>
      <c r="E55" s="626"/>
      <c r="F55" s="626"/>
      <c r="G55" s="626"/>
      <c r="H55" s="626"/>
      <c r="I55" s="626"/>
      <c r="J55" s="626"/>
      <c r="K55" s="729"/>
      <c r="L55" s="729"/>
      <c r="M55" s="729">
        <f>SUM(M51:M51)</f>
        <v>0</v>
      </c>
      <c r="N55" s="729">
        <f>SUM(N51:N51)</f>
        <v>600000000</v>
      </c>
      <c r="O55" s="729">
        <f>SUM(O51:O52)</f>
        <v>480000000</v>
      </c>
      <c r="P55" s="729">
        <f>SUM(P50:P54)</f>
        <v>2440000000</v>
      </c>
      <c r="Q55" s="891">
        <f>SUM(Q50:Q54)</f>
        <v>5500000000</v>
      </c>
      <c r="R55" s="728">
        <f t="shared" si="0"/>
        <v>3060000000</v>
      </c>
    </row>
    <row r="56" spans="1:19" ht="17.45" customHeight="1">
      <c r="A56" s="637">
        <v>2630</v>
      </c>
      <c r="B56" s="638" t="s">
        <v>426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>
        <v>0</v>
      </c>
      <c r="M56" s="307"/>
      <c r="N56" s="307"/>
      <c r="O56" s="307"/>
      <c r="P56" s="307"/>
      <c r="Q56" s="83"/>
      <c r="R56" s="723">
        <f t="shared" si="0"/>
        <v>0</v>
      </c>
      <c r="S56" s="606"/>
    </row>
    <row r="57" spans="1:19" ht="17.45" customHeight="1">
      <c r="A57" s="632">
        <v>26308</v>
      </c>
      <c r="B57" s="730" t="s">
        <v>1292</v>
      </c>
      <c r="C57" s="308"/>
      <c r="D57" s="308"/>
      <c r="E57" s="308"/>
      <c r="F57" s="308"/>
      <c r="G57" s="308"/>
      <c r="H57" s="308"/>
      <c r="I57" s="308"/>
      <c r="J57" s="308"/>
      <c r="K57" s="723"/>
      <c r="L57" s="723"/>
      <c r="M57" s="723"/>
      <c r="N57" s="723">
        <v>545714286</v>
      </c>
      <c r="O57" s="723">
        <v>1200000000</v>
      </c>
      <c r="P57" s="723">
        <v>1384000000</v>
      </c>
      <c r="Q57" s="874">
        <v>1384000000</v>
      </c>
      <c r="R57" s="723">
        <f t="shared" si="0"/>
        <v>0</v>
      </c>
      <c r="S57" s="606"/>
    </row>
    <row r="58" spans="1:19" ht="17.45" customHeight="1">
      <c r="A58" s="632">
        <v>26302</v>
      </c>
      <c r="B58" s="730" t="s">
        <v>924</v>
      </c>
      <c r="C58" s="308"/>
      <c r="D58" s="308"/>
      <c r="E58" s="308"/>
      <c r="F58" s="308"/>
      <c r="G58" s="308"/>
      <c r="H58" s="308"/>
      <c r="I58" s="308"/>
      <c r="J58" s="308"/>
      <c r="K58" s="723"/>
      <c r="L58" s="723"/>
      <c r="M58" s="723"/>
      <c r="N58" s="723">
        <v>700000000</v>
      </c>
      <c r="O58" s="723">
        <v>1170000000</v>
      </c>
      <c r="P58" s="723">
        <v>2820000000</v>
      </c>
      <c r="Q58" s="874">
        <v>5718000000</v>
      </c>
      <c r="R58" s="723">
        <f t="shared" si="0"/>
        <v>2898000000</v>
      </c>
      <c r="S58" s="606"/>
    </row>
    <row r="59" spans="1:19" ht="17.45" customHeight="1">
      <c r="A59" s="632">
        <v>26315</v>
      </c>
      <c r="B59" s="730" t="s">
        <v>1403</v>
      </c>
      <c r="C59" s="308"/>
      <c r="D59" s="308"/>
      <c r="E59" s="308"/>
      <c r="F59" s="308"/>
      <c r="G59" s="308"/>
      <c r="H59" s="308"/>
      <c r="I59" s="308"/>
      <c r="J59" s="308"/>
      <c r="K59" s="723"/>
      <c r="L59" s="723"/>
      <c r="M59" s="723"/>
      <c r="N59" s="723"/>
      <c r="O59" s="723"/>
      <c r="P59" s="723"/>
      <c r="Q59" s="874">
        <v>150000000</v>
      </c>
      <c r="R59" s="723">
        <f t="shared" si="0"/>
        <v>150000000</v>
      </c>
      <c r="S59" s="606"/>
    </row>
    <row r="60" spans="1:19" ht="17.45" customHeight="1">
      <c r="A60" s="632">
        <v>26317</v>
      </c>
      <c r="B60" s="307" t="s">
        <v>1071</v>
      </c>
      <c r="C60" s="308"/>
      <c r="D60" s="308"/>
      <c r="E60" s="308"/>
      <c r="F60" s="308"/>
      <c r="G60" s="308"/>
      <c r="H60" s="308"/>
      <c r="I60" s="308"/>
      <c r="J60" s="308"/>
      <c r="K60" s="723"/>
      <c r="L60" s="723"/>
      <c r="M60" s="723"/>
      <c r="N60" s="723"/>
      <c r="O60" s="723">
        <v>300000000</v>
      </c>
      <c r="P60" s="841">
        <v>0</v>
      </c>
      <c r="Q60" s="874">
        <v>1500000000</v>
      </c>
      <c r="R60" s="723">
        <f t="shared" si="0"/>
        <v>1500000000</v>
      </c>
      <c r="S60" s="606"/>
    </row>
    <row r="61" spans="1:19" ht="17.45" customHeight="1">
      <c r="A61" s="632">
        <v>26318</v>
      </c>
      <c r="B61" s="307" t="s">
        <v>1091</v>
      </c>
      <c r="C61" s="308"/>
      <c r="D61" s="308"/>
      <c r="E61" s="308"/>
      <c r="F61" s="308"/>
      <c r="G61" s="308"/>
      <c r="H61" s="308"/>
      <c r="I61" s="308"/>
      <c r="J61" s="308"/>
      <c r="K61" s="723"/>
      <c r="L61" s="723"/>
      <c r="M61" s="723"/>
      <c r="N61" s="723"/>
      <c r="O61" s="723">
        <v>800000000</v>
      </c>
      <c r="P61" s="723">
        <v>800000000</v>
      </c>
      <c r="Q61" s="874">
        <v>800000000</v>
      </c>
      <c r="R61" s="723">
        <f t="shared" si="0"/>
        <v>0</v>
      </c>
      <c r="S61" s="606"/>
    </row>
    <row r="62" spans="1:19" ht="17.45" customHeight="1">
      <c r="A62" s="632"/>
      <c r="B62" s="308" t="s">
        <v>92</v>
      </c>
      <c r="C62" s="307"/>
      <c r="D62" s="307"/>
      <c r="E62" s="307"/>
      <c r="F62" s="307"/>
      <c r="G62" s="307"/>
      <c r="H62" s="307"/>
      <c r="I62" s="307"/>
      <c r="J62" s="308" t="e">
        <f>SUM(#REF!)</f>
        <v>#REF!</v>
      </c>
      <c r="K62" s="308" t="e">
        <f>SUM(#REF!)</f>
        <v>#REF!</v>
      </c>
      <c r="L62" s="308" t="e">
        <f>SUM(#REF!)</f>
        <v>#REF!</v>
      </c>
      <c r="M62" s="308" t="e">
        <f>SUM(#REF!)</f>
        <v>#REF!</v>
      </c>
      <c r="N62" s="308">
        <f>SUM(N57:N58)</f>
        <v>1245714286</v>
      </c>
      <c r="O62" s="308">
        <f>SUM(O57:O61)</f>
        <v>3470000000</v>
      </c>
      <c r="P62" s="308">
        <f>SUM(P57:P61)</f>
        <v>5004000000</v>
      </c>
      <c r="Q62" s="306">
        <f>SUM(Q57:Q61)</f>
        <v>9552000000</v>
      </c>
      <c r="R62" s="728">
        <f t="shared" si="0"/>
        <v>4548000000</v>
      </c>
      <c r="S62" s="606"/>
    </row>
    <row r="63" spans="1:19" ht="17.45" customHeight="1">
      <c r="A63" s="628">
        <v>2810</v>
      </c>
      <c r="B63" s="308" t="s">
        <v>1376</v>
      </c>
      <c r="C63" s="307"/>
      <c r="D63" s="307"/>
      <c r="E63" s="307"/>
      <c r="F63" s="307"/>
      <c r="G63" s="307"/>
      <c r="H63" s="307"/>
      <c r="I63" s="307"/>
      <c r="J63" s="308"/>
      <c r="K63" s="308"/>
      <c r="L63" s="308"/>
      <c r="M63" s="308"/>
      <c r="N63" s="308"/>
      <c r="O63" s="308"/>
      <c r="P63" s="308"/>
      <c r="Q63" s="306"/>
      <c r="R63" s="723">
        <f t="shared" si="0"/>
        <v>0</v>
      </c>
      <c r="S63" s="606"/>
    </row>
    <row r="64" spans="1:19" ht="17.45" customHeight="1">
      <c r="A64" s="632">
        <v>28102</v>
      </c>
      <c r="B64" s="307" t="s">
        <v>1388</v>
      </c>
      <c r="C64" s="307"/>
      <c r="D64" s="307"/>
      <c r="E64" s="307"/>
      <c r="F64" s="307"/>
      <c r="G64" s="307"/>
      <c r="H64" s="307"/>
      <c r="I64" s="307"/>
      <c r="J64" s="308"/>
      <c r="K64" s="308"/>
      <c r="L64" s="308"/>
      <c r="M64" s="308"/>
      <c r="N64" s="308"/>
      <c r="O64" s="308"/>
      <c r="P64" s="308"/>
      <c r="Q64" s="83">
        <v>281676000</v>
      </c>
      <c r="R64" s="723">
        <f t="shared" si="0"/>
        <v>281676000</v>
      </c>
      <c r="S64" s="606"/>
    </row>
    <row r="65" spans="1:19" ht="17.45" customHeight="1">
      <c r="A65" s="632"/>
      <c r="B65" s="308" t="s">
        <v>92</v>
      </c>
      <c r="C65" s="307"/>
      <c r="D65" s="307"/>
      <c r="E65" s="307"/>
      <c r="F65" s="307"/>
      <c r="G65" s="307"/>
      <c r="H65" s="307"/>
      <c r="I65" s="307"/>
      <c r="J65" s="308"/>
      <c r="K65" s="308"/>
      <c r="L65" s="308"/>
      <c r="M65" s="308"/>
      <c r="N65" s="308"/>
      <c r="O65" s="308"/>
      <c r="P65" s="308"/>
      <c r="Q65" s="306">
        <f>SUM(Q64)</f>
        <v>281676000</v>
      </c>
      <c r="R65" s="728">
        <f t="shared" si="0"/>
        <v>281676000</v>
      </c>
      <c r="S65" s="606"/>
    </row>
    <row r="66" spans="1:19" ht="17.45" customHeight="1">
      <c r="A66" s="632"/>
      <c r="B66" s="308" t="s">
        <v>37</v>
      </c>
      <c r="C66" s="626"/>
      <c r="D66" s="626"/>
      <c r="E66" s="626"/>
      <c r="F66" s="626"/>
      <c r="G66" s="626"/>
      <c r="H66" s="626"/>
      <c r="I66" s="626"/>
      <c r="J66" s="626"/>
      <c r="K66" s="729">
        <f>K48+K42+K36+K28+K9</f>
        <v>13205973740</v>
      </c>
      <c r="L66" s="729" t="e">
        <f>L62+L48+L42+L36+L28+L9</f>
        <v>#REF!</v>
      </c>
      <c r="M66" s="729" t="e">
        <f>M55+M48+M42+M36+M28+M9+M62</f>
        <v>#REF!</v>
      </c>
      <c r="N66" s="729">
        <f>N55+N48+N42+N36+N28+N9+N62</f>
        <v>66346294424</v>
      </c>
      <c r="O66" s="729">
        <f>O55+O48+O42+O36+O28+O9+O62</f>
        <v>72602190058</v>
      </c>
      <c r="P66" s="729">
        <f>P55+P48+P42+P36+P28+P9+P62</f>
        <v>79974373120</v>
      </c>
      <c r="Q66" s="891">
        <f>Q55+Q48+Q42+Q36+Q28+Q9+Q62+Q65</f>
        <v>102615623952</v>
      </c>
      <c r="R66" s="728">
        <f t="shared" si="0"/>
        <v>22641250832</v>
      </c>
    </row>
    <row r="67" spans="1:19" ht="17.45" customHeight="1">
      <c r="P67" s="579" t="s">
        <v>4</v>
      </c>
    </row>
  </sheetData>
  <pageMargins left="0.45" right="0.26" top="1.07" bottom="0.52" header="0.53" footer="0.17"/>
  <pageSetup scale="58" orientation="portrait" r:id="rId1"/>
  <headerFooter>
    <oddHeader>&amp;C&amp;"Algerian,Bold"&amp;28WASAARADA WAXBARASHADA IYO TACLIINTA SARRE</oddHeader>
    <oddFooter>&amp;R&amp;"Times New Roman,Bold"&amp;14 39</oddFooter>
  </headerFooter>
  <colBreaks count="1" manualBreakCount="1">
    <brk id="18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34" zoomScale="60" workbookViewId="0">
      <selection activeCell="H52" sqref="H52"/>
    </sheetView>
  </sheetViews>
  <sheetFormatPr defaultRowHeight="23.1" customHeight="1"/>
  <cols>
    <col min="1" max="1" width="18.1640625" style="565" bestFit="1" customWidth="1"/>
    <col min="2" max="2" width="78.5" style="399" customWidth="1"/>
    <col min="3" max="3" width="23.5" style="399" hidden="1" customWidth="1"/>
    <col min="4" max="6" width="27.6640625" style="399" hidden="1" customWidth="1"/>
    <col min="7" max="9" width="27.6640625" style="399" customWidth="1"/>
    <col min="10" max="16384" width="9.33203125" style="399"/>
  </cols>
  <sheetData>
    <row r="1" spans="1:9" ht="23.1" customHeight="1">
      <c r="A1" s="608" t="s">
        <v>39</v>
      </c>
      <c r="B1" s="545" t="s">
        <v>1013</v>
      </c>
      <c r="C1" s="478"/>
      <c r="D1" s="478"/>
      <c r="E1" s="478"/>
      <c r="F1" s="478"/>
      <c r="G1" s="478"/>
      <c r="H1" s="478"/>
      <c r="I1" s="478"/>
    </row>
    <row r="2" spans="1:9" ht="23.1" customHeight="1">
      <c r="A2" s="608" t="s">
        <v>25</v>
      </c>
      <c r="B2" s="545" t="s">
        <v>26</v>
      </c>
      <c r="C2" s="482" t="s">
        <v>257</v>
      </c>
      <c r="D2" s="482" t="s">
        <v>814</v>
      </c>
      <c r="E2" s="482" t="s">
        <v>874</v>
      </c>
      <c r="F2" s="482" t="s">
        <v>973</v>
      </c>
      <c r="G2" s="482" t="s">
        <v>1160</v>
      </c>
      <c r="H2" s="482" t="s">
        <v>1320</v>
      </c>
      <c r="I2" s="482" t="s">
        <v>56</v>
      </c>
    </row>
    <row r="3" spans="1:9" ht="23.1" customHeight="1">
      <c r="A3" s="476">
        <v>210</v>
      </c>
      <c r="B3" s="280" t="s">
        <v>137</v>
      </c>
      <c r="C3" s="282"/>
      <c r="D3" s="282"/>
      <c r="E3" s="282"/>
      <c r="F3" s="282"/>
      <c r="G3" s="282"/>
      <c r="H3" s="282"/>
      <c r="I3" s="282"/>
    </row>
    <row r="4" spans="1:9" ht="23.1" customHeight="1">
      <c r="A4" s="476">
        <v>2110</v>
      </c>
      <c r="B4" s="280" t="s">
        <v>213</v>
      </c>
      <c r="C4" s="282"/>
      <c r="D4" s="282"/>
      <c r="E4" s="282"/>
      <c r="F4" s="282"/>
      <c r="G4" s="282"/>
      <c r="H4" s="282"/>
      <c r="I4" s="282"/>
    </row>
    <row r="5" spans="1:9" ht="23.1" customHeight="1">
      <c r="A5" s="392">
        <v>21101</v>
      </c>
      <c r="B5" s="246" t="s">
        <v>28</v>
      </c>
      <c r="C5" s="282">
        <v>0</v>
      </c>
      <c r="D5" s="282">
        <v>30513600</v>
      </c>
      <c r="E5" s="282">
        <v>164136960</v>
      </c>
      <c r="F5" s="282">
        <v>178588800</v>
      </c>
      <c r="G5" s="246">
        <v>154177920</v>
      </c>
      <c r="H5" s="246">
        <v>268519680</v>
      </c>
      <c r="I5" s="282">
        <f>H5-G5</f>
        <v>114341760</v>
      </c>
    </row>
    <row r="6" spans="1:9" ht="23.1" customHeight="1">
      <c r="A6" s="392">
        <v>21102</v>
      </c>
      <c r="B6" s="246" t="s">
        <v>29</v>
      </c>
      <c r="C6" s="282">
        <v>0</v>
      </c>
      <c r="D6" s="282"/>
      <c r="E6" s="282"/>
      <c r="F6" s="282"/>
      <c r="G6" s="282"/>
      <c r="H6" s="282"/>
      <c r="I6" s="282">
        <f t="shared" ref="I6:I52" si="0">H6-G6</f>
        <v>0</v>
      </c>
    </row>
    <row r="7" spans="1:9" ht="23.1" customHeight="1">
      <c r="A7" s="392">
        <v>21103</v>
      </c>
      <c r="B7" s="246" t="s">
        <v>579</v>
      </c>
      <c r="C7" s="282"/>
      <c r="D7" s="282">
        <v>36000000</v>
      </c>
      <c r="E7" s="282">
        <v>90000000</v>
      </c>
      <c r="F7" s="282">
        <v>108000000</v>
      </c>
      <c r="G7" s="282">
        <v>144000000</v>
      </c>
      <c r="H7" s="852">
        <v>162000000</v>
      </c>
      <c r="I7" s="282">
        <f t="shared" si="0"/>
        <v>18000000</v>
      </c>
    </row>
    <row r="8" spans="1:9" ht="23.1" customHeight="1">
      <c r="A8" s="392">
        <v>21105</v>
      </c>
      <c r="B8" s="246" t="s">
        <v>930</v>
      </c>
      <c r="C8" s="282"/>
      <c r="D8" s="282">
        <v>0</v>
      </c>
      <c r="E8" s="282">
        <v>50000000</v>
      </c>
      <c r="F8" s="282">
        <v>50000000</v>
      </c>
      <c r="G8" s="282">
        <v>50000000</v>
      </c>
      <c r="H8" s="852">
        <v>50000000</v>
      </c>
      <c r="I8" s="282">
        <f t="shared" si="0"/>
        <v>0</v>
      </c>
    </row>
    <row r="9" spans="1:9" ht="23.1" customHeight="1">
      <c r="A9" s="392"/>
      <c r="B9" s="280" t="s">
        <v>92</v>
      </c>
      <c r="C9" s="283">
        <f>SUM(C5:C7)</f>
        <v>0</v>
      </c>
      <c r="D9" s="283">
        <f>SUM(D5:D7)</f>
        <v>66513600</v>
      </c>
      <c r="E9" s="283">
        <f>SUM(E5:E8)</f>
        <v>304136960</v>
      </c>
      <c r="F9" s="283">
        <f>SUM(F5:F8)</f>
        <v>336588800</v>
      </c>
      <c r="G9" s="283">
        <f>SUM(G5:G8)</f>
        <v>348177920</v>
      </c>
      <c r="H9" s="869">
        <f>SUM(H5:H8)</f>
        <v>480519680</v>
      </c>
      <c r="I9" s="283">
        <f t="shared" si="0"/>
        <v>132341760</v>
      </c>
    </row>
    <row r="10" spans="1:9" ht="23.1" customHeight="1">
      <c r="A10" s="476">
        <v>220</v>
      </c>
      <c r="B10" s="280" t="s">
        <v>225</v>
      </c>
      <c r="C10" s="282"/>
      <c r="D10" s="282"/>
      <c r="E10" s="282"/>
      <c r="F10" s="282"/>
      <c r="G10" s="282"/>
      <c r="H10" s="852"/>
      <c r="I10" s="282">
        <f t="shared" si="0"/>
        <v>0</v>
      </c>
    </row>
    <row r="11" spans="1:9" ht="23.1" customHeight="1">
      <c r="A11" s="476">
        <v>2210</v>
      </c>
      <c r="B11" s="280" t="s">
        <v>226</v>
      </c>
      <c r="C11" s="282"/>
      <c r="D11" s="282"/>
      <c r="E11" s="282"/>
      <c r="F11" s="282"/>
      <c r="G11" s="282"/>
      <c r="H11" s="852"/>
      <c r="I11" s="282">
        <f t="shared" si="0"/>
        <v>0</v>
      </c>
    </row>
    <row r="12" spans="1:9" ht="23.1" customHeight="1">
      <c r="A12" s="392">
        <v>22101</v>
      </c>
      <c r="B12" s="246" t="s">
        <v>33</v>
      </c>
      <c r="C12" s="282">
        <v>121024000</v>
      </c>
      <c r="D12" s="282">
        <v>26000000</v>
      </c>
      <c r="E12" s="282">
        <v>76000000</v>
      </c>
      <c r="F12" s="282">
        <v>76000000</v>
      </c>
      <c r="G12" s="282">
        <v>76000000</v>
      </c>
      <c r="H12" s="852">
        <v>76000000</v>
      </c>
      <c r="I12" s="282">
        <f t="shared" si="0"/>
        <v>0</v>
      </c>
    </row>
    <row r="13" spans="1:9" ht="23.1" customHeight="1">
      <c r="A13" s="392">
        <v>22102</v>
      </c>
      <c r="B13" s="246" t="s">
        <v>337</v>
      </c>
      <c r="C13" s="282"/>
      <c r="D13" s="282">
        <v>50000000</v>
      </c>
      <c r="E13" s="282">
        <v>0</v>
      </c>
      <c r="F13" s="282">
        <v>0</v>
      </c>
      <c r="G13" s="282">
        <v>0</v>
      </c>
      <c r="H13" s="852">
        <v>0</v>
      </c>
      <c r="I13" s="282">
        <f t="shared" si="0"/>
        <v>0</v>
      </c>
    </row>
    <row r="14" spans="1:9" ht="23.1" customHeight="1">
      <c r="A14" s="392">
        <v>22104</v>
      </c>
      <c r="B14" s="246" t="s">
        <v>157</v>
      </c>
      <c r="C14" s="282">
        <v>20300000</v>
      </c>
      <c r="D14" s="282">
        <v>6800000</v>
      </c>
      <c r="E14" s="282">
        <v>11800000</v>
      </c>
      <c r="F14" s="282">
        <v>11800000</v>
      </c>
      <c r="G14" s="282">
        <v>20000000</v>
      </c>
      <c r="H14" s="852">
        <v>45000000</v>
      </c>
      <c r="I14" s="282">
        <f t="shared" si="0"/>
        <v>25000000</v>
      </c>
    </row>
    <row r="15" spans="1:9" ht="23.1" customHeight="1">
      <c r="A15" s="392">
        <v>22106</v>
      </c>
      <c r="B15" s="246" t="s">
        <v>126</v>
      </c>
      <c r="C15" s="282">
        <v>140000000</v>
      </c>
      <c r="D15" s="282"/>
      <c r="E15" s="282"/>
      <c r="F15" s="282"/>
      <c r="G15" s="282"/>
      <c r="H15" s="852">
        <v>50000000</v>
      </c>
      <c r="I15" s="282">
        <f t="shared" si="0"/>
        <v>50000000</v>
      </c>
    </row>
    <row r="16" spans="1:9" ht="23.1" customHeight="1">
      <c r="A16" s="392">
        <v>22107</v>
      </c>
      <c r="B16" s="246" t="s">
        <v>48</v>
      </c>
      <c r="C16" s="282">
        <v>50000000</v>
      </c>
      <c r="D16" s="282">
        <v>10000000</v>
      </c>
      <c r="E16" s="282">
        <v>10000000</v>
      </c>
      <c r="F16" s="282">
        <v>10000000</v>
      </c>
      <c r="G16" s="282">
        <v>10000000</v>
      </c>
      <c r="H16" s="852">
        <v>50000000</v>
      </c>
      <c r="I16" s="282">
        <f t="shared" si="0"/>
        <v>40000000</v>
      </c>
    </row>
    <row r="17" spans="1:9" ht="23.1" customHeight="1">
      <c r="A17" s="392">
        <v>22109</v>
      </c>
      <c r="B17" s="246" t="s">
        <v>136</v>
      </c>
      <c r="C17" s="282">
        <v>3976000</v>
      </c>
      <c r="D17" s="282">
        <v>6500000</v>
      </c>
      <c r="E17" s="282">
        <v>6500000</v>
      </c>
      <c r="F17" s="282">
        <v>6500000</v>
      </c>
      <c r="G17" s="282">
        <v>10000000</v>
      </c>
      <c r="H17" s="852">
        <v>10000000</v>
      </c>
      <c r="I17" s="282">
        <f t="shared" si="0"/>
        <v>0</v>
      </c>
    </row>
    <row r="18" spans="1:9" ht="23.1" customHeight="1">
      <c r="A18" s="392">
        <v>22112</v>
      </c>
      <c r="B18" s="246" t="s">
        <v>35</v>
      </c>
      <c r="C18" s="282">
        <v>0</v>
      </c>
      <c r="D18" s="282"/>
      <c r="E18" s="282"/>
      <c r="F18" s="282"/>
      <c r="G18" s="282"/>
      <c r="H18" s="852"/>
      <c r="I18" s="282">
        <f t="shared" si="0"/>
        <v>0</v>
      </c>
    </row>
    <row r="19" spans="1:9" ht="23.1" customHeight="1">
      <c r="A19" s="392">
        <v>22122</v>
      </c>
      <c r="B19" s="246" t="s">
        <v>1380</v>
      </c>
      <c r="C19" s="282"/>
      <c r="D19" s="282"/>
      <c r="E19" s="282"/>
      <c r="F19" s="282"/>
      <c r="G19" s="282"/>
      <c r="H19" s="852">
        <v>120000000</v>
      </c>
      <c r="I19" s="282">
        <f t="shared" si="0"/>
        <v>120000000</v>
      </c>
    </row>
    <row r="20" spans="1:9" ht="23.1" customHeight="1">
      <c r="A20" s="392">
        <v>22129</v>
      </c>
      <c r="B20" s="246" t="s">
        <v>359</v>
      </c>
      <c r="C20" s="282">
        <v>10000000</v>
      </c>
      <c r="D20" s="282"/>
      <c r="E20" s="282"/>
      <c r="F20" s="282"/>
      <c r="G20" s="282"/>
      <c r="H20" s="852"/>
      <c r="I20" s="282">
        <f t="shared" si="0"/>
        <v>0</v>
      </c>
    </row>
    <row r="21" spans="1:9" ht="23.1" customHeight="1">
      <c r="A21" s="392">
        <v>22132</v>
      </c>
      <c r="B21" s="246" t="s">
        <v>187</v>
      </c>
      <c r="C21" s="282">
        <v>9500000</v>
      </c>
      <c r="D21" s="282"/>
      <c r="E21" s="282"/>
      <c r="F21" s="282"/>
      <c r="G21" s="282"/>
      <c r="H21" s="852"/>
      <c r="I21" s="282">
        <f t="shared" si="0"/>
        <v>0</v>
      </c>
    </row>
    <row r="22" spans="1:9" ht="23.1" customHeight="1">
      <c r="A22" s="392">
        <v>22137</v>
      </c>
      <c r="B22" s="246" t="s">
        <v>272</v>
      </c>
      <c r="C22" s="282">
        <v>0</v>
      </c>
      <c r="D22" s="282"/>
      <c r="E22" s="282">
        <v>0</v>
      </c>
      <c r="F22" s="282">
        <v>0</v>
      </c>
      <c r="G22" s="282">
        <v>0</v>
      </c>
      <c r="H22" s="852">
        <v>0</v>
      </c>
      <c r="I22" s="282">
        <f t="shared" si="0"/>
        <v>0</v>
      </c>
    </row>
    <row r="23" spans="1:9" ht="23.1" customHeight="1">
      <c r="A23" s="392"/>
      <c r="B23" s="280" t="s">
        <v>92</v>
      </c>
      <c r="C23" s="283">
        <f t="shared" ref="C23:G23" si="1">SUM(C12:C22)</f>
        <v>354800000</v>
      </c>
      <c r="D23" s="283">
        <f t="shared" si="1"/>
        <v>99300000</v>
      </c>
      <c r="E23" s="283">
        <f t="shared" si="1"/>
        <v>104300000</v>
      </c>
      <c r="F23" s="283">
        <f t="shared" si="1"/>
        <v>104300000</v>
      </c>
      <c r="G23" s="283">
        <f t="shared" si="1"/>
        <v>116000000</v>
      </c>
      <c r="H23" s="869">
        <f>SUM(H12:H22)</f>
        <v>351000000</v>
      </c>
      <c r="I23" s="283">
        <f t="shared" si="0"/>
        <v>235000000</v>
      </c>
    </row>
    <row r="24" spans="1:9" ht="23.1" customHeight="1">
      <c r="A24" s="476">
        <v>2220</v>
      </c>
      <c r="B24" s="280" t="s">
        <v>240</v>
      </c>
      <c r="C24" s="282"/>
      <c r="D24" s="282"/>
      <c r="E24" s="282"/>
      <c r="F24" s="282"/>
      <c r="G24" s="282"/>
      <c r="H24" s="852"/>
      <c r="I24" s="282">
        <f t="shared" si="0"/>
        <v>0</v>
      </c>
    </row>
    <row r="25" spans="1:9" ht="23.1" customHeight="1">
      <c r="A25" s="392">
        <v>22202</v>
      </c>
      <c r="B25" s="246" t="s">
        <v>133</v>
      </c>
      <c r="C25" s="282">
        <v>90000000</v>
      </c>
      <c r="D25" s="282">
        <v>80000000</v>
      </c>
      <c r="E25" s="282">
        <v>80000000</v>
      </c>
      <c r="F25" s="282">
        <v>80000000</v>
      </c>
      <c r="G25" s="282">
        <v>130000000</v>
      </c>
      <c r="H25" s="852">
        <v>150000000</v>
      </c>
      <c r="I25" s="282">
        <f t="shared" si="0"/>
        <v>20000000</v>
      </c>
    </row>
    <row r="26" spans="1:9" ht="23.1" customHeight="1">
      <c r="A26" s="392">
        <v>22203</v>
      </c>
      <c r="B26" s="246" t="s">
        <v>127</v>
      </c>
      <c r="C26" s="282">
        <v>57000000</v>
      </c>
      <c r="D26" s="282">
        <v>50000000</v>
      </c>
      <c r="E26" s="282">
        <v>50000000</v>
      </c>
      <c r="F26" s="282">
        <v>50000000</v>
      </c>
      <c r="G26" s="282">
        <v>50000000</v>
      </c>
      <c r="H26" s="852">
        <v>50000000</v>
      </c>
      <c r="I26" s="282">
        <f t="shared" si="0"/>
        <v>0</v>
      </c>
    </row>
    <row r="27" spans="1:9" ht="23.1" customHeight="1">
      <c r="A27" s="392">
        <v>22204</v>
      </c>
      <c r="B27" s="246" t="s">
        <v>128</v>
      </c>
      <c r="C27" s="282">
        <v>10000000</v>
      </c>
      <c r="D27" s="282">
        <v>1000000</v>
      </c>
      <c r="E27" s="282">
        <v>1000000</v>
      </c>
      <c r="F27" s="282">
        <v>1000000</v>
      </c>
      <c r="G27" s="282">
        <v>5000000</v>
      </c>
      <c r="H27" s="852">
        <v>5000000</v>
      </c>
      <c r="I27" s="282">
        <f t="shared" si="0"/>
        <v>0</v>
      </c>
    </row>
    <row r="28" spans="1:9" ht="23.1" customHeight="1">
      <c r="A28" s="392">
        <v>22207</v>
      </c>
      <c r="B28" s="246" t="s">
        <v>580</v>
      </c>
      <c r="C28" s="282">
        <v>0</v>
      </c>
      <c r="D28" s="282"/>
      <c r="E28" s="282"/>
      <c r="F28" s="282"/>
      <c r="G28" s="282"/>
      <c r="H28" s="852"/>
      <c r="I28" s="282">
        <f t="shared" si="0"/>
        <v>0</v>
      </c>
    </row>
    <row r="29" spans="1:9" ht="23.1" customHeight="1">
      <c r="A29" s="392"/>
      <c r="B29" s="280" t="s">
        <v>92</v>
      </c>
      <c r="C29" s="283">
        <f t="shared" ref="C29:H29" si="2">SUM(C25:C28)</f>
        <v>157000000</v>
      </c>
      <c r="D29" s="283">
        <f t="shared" si="2"/>
        <v>131000000</v>
      </c>
      <c r="E29" s="283">
        <f t="shared" si="2"/>
        <v>131000000</v>
      </c>
      <c r="F29" s="283">
        <f t="shared" si="2"/>
        <v>131000000</v>
      </c>
      <c r="G29" s="283">
        <f t="shared" si="2"/>
        <v>185000000</v>
      </c>
      <c r="H29" s="869">
        <f t="shared" si="2"/>
        <v>205000000</v>
      </c>
      <c r="I29" s="283">
        <f t="shared" si="0"/>
        <v>20000000</v>
      </c>
    </row>
    <row r="30" spans="1:9" ht="23.1" customHeight="1">
      <c r="A30" s="476">
        <v>2230</v>
      </c>
      <c r="B30" s="280" t="s">
        <v>130</v>
      </c>
      <c r="C30" s="282"/>
      <c r="D30" s="282"/>
      <c r="E30" s="282"/>
      <c r="F30" s="282"/>
      <c r="G30" s="282"/>
      <c r="H30" s="852"/>
      <c r="I30" s="282">
        <f t="shared" si="0"/>
        <v>0</v>
      </c>
    </row>
    <row r="31" spans="1:9" ht="23.1" customHeight="1">
      <c r="A31" s="392">
        <v>22301</v>
      </c>
      <c r="B31" s="246" t="s">
        <v>49</v>
      </c>
      <c r="C31" s="282">
        <v>60000000</v>
      </c>
      <c r="D31" s="282">
        <f>C31</f>
        <v>60000000</v>
      </c>
      <c r="E31" s="282">
        <f>D31</f>
        <v>60000000</v>
      </c>
      <c r="F31" s="282">
        <f>E31</f>
        <v>60000000</v>
      </c>
      <c r="G31" s="282">
        <f>F31</f>
        <v>60000000</v>
      </c>
      <c r="H31" s="852">
        <f>G31</f>
        <v>60000000</v>
      </c>
      <c r="I31" s="282">
        <f t="shared" si="0"/>
        <v>0</v>
      </c>
    </row>
    <row r="32" spans="1:9" ht="23.1" customHeight="1">
      <c r="A32" s="392">
        <v>22302</v>
      </c>
      <c r="B32" s="246" t="s">
        <v>249</v>
      </c>
      <c r="C32" s="282">
        <v>5000000</v>
      </c>
      <c r="D32" s="282">
        <f>C32</f>
        <v>5000000</v>
      </c>
      <c r="E32" s="282">
        <v>0</v>
      </c>
      <c r="F32" s="282">
        <v>0</v>
      </c>
      <c r="G32" s="282">
        <v>0</v>
      </c>
      <c r="H32" s="852">
        <v>0</v>
      </c>
      <c r="I32" s="282">
        <f t="shared" si="0"/>
        <v>0</v>
      </c>
    </row>
    <row r="33" spans="1:15" ht="23.1" customHeight="1">
      <c r="A33" s="392">
        <v>22313</v>
      </c>
      <c r="B33" s="246" t="s">
        <v>251</v>
      </c>
      <c r="C33" s="282">
        <v>0</v>
      </c>
      <c r="D33" s="282"/>
      <c r="E33" s="282"/>
      <c r="F33" s="282"/>
      <c r="G33" s="282"/>
      <c r="H33" s="852"/>
      <c r="I33" s="282">
        <f t="shared" si="0"/>
        <v>0</v>
      </c>
    </row>
    <row r="34" spans="1:15" ht="23.1" customHeight="1">
      <c r="A34" s="392"/>
      <c r="B34" s="280" t="s">
        <v>92</v>
      </c>
      <c r="C34" s="283">
        <f t="shared" ref="C34:H34" si="3">SUM(C31:C33)</f>
        <v>65000000</v>
      </c>
      <c r="D34" s="283">
        <f t="shared" si="3"/>
        <v>65000000</v>
      </c>
      <c r="E34" s="283">
        <f t="shared" si="3"/>
        <v>60000000</v>
      </c>
      <c r="F34" s="283">
        <f t="shared" si="3"/>
        <v>60000000</v>
      </c>
      <c r="G34" s="283">
        <f t="shared" si="3"/>
        <v>60000000</v>
      </c>
      <c r="H34" s="869">
        <f t="shared" si="3"/>
        <v>60000000</v>
      </c>
      <c r="I34" s="283">
        <f t="shared" si="0"/>
        <v>0</v>
      </c>
    </row>
    <row r="35" spans="1:15" ht="23.1" customHeight="1">
      <c r="A35" s="476">
        <v>270</v>
      </c>
      <c r="B35" s="280" t="s">
        <v>253</v>
      </c>
      <c r="C35" s="282"/>
      <c r="D35" s="282"/>
      <c r="E35" s="282"/>
      <c r="F35" s="282"/>
      <c r="G35" s="282"/>
      <c r="H35" s="852"/>
      <c r="I35" s="282">
        <f t="shared" si="0"/>
        <v>0</v>
      </c>
    </row>
    <row r="36" spans="1:15" ht="23.1" customHeight="1">
      <c r="A36" s="476">
        <v>2710</v>
      </c>
      <c r="B36" s="280" t="s">
        <v>252</v>
      </c>
      <c r="C36" s="282"/>
      <c r="D36" s="282"/>
      <c r="E36" s="282"/>
      <c r="F36" s="282"/>
      <c r="G36" s="282"/>
      <c r="H36" s="852"/>
      <c r="I36" s="282">
        <f t="shared" si="0"/>
        <v>0</v>
      </c>
    </row>
    <row r="37" spans="1:15" ht="23.1" customHeight="1">
      <c r="A37" s="392">
        <v>27601</v>
      </c>
      <c r="B37" s="246" t="s">
        <v>472</v>
      </c>
      <c r="C37" s="282">
        <v>60000000</v>
      </c>
      <c r="D37" s="282">
        <v>0</v>
      </c>
      <c r="E37" s="282">
        <v>0</v>
      </c>
      <c r="F37" s="282">
        <v>0</v>
      </c>
      <c r="G37" s="282">
        <v>0</v>
      </c>
      <c r="H37" s="852">
        <v>0</v>
      </c>
      <c r="I37" s="282">
        <f t="shared" si="0"/>
        <v>0</v>
      </c>
    </row>
    <row r="38" spans="1:15" ht="23.1" customHeight="1">
      <c r="A38" s="392">
        <v>27402</v>
      </c>
      <c r="B38" s="246" t="s">
        <v>581</v>
      </c>
      <c r="C38" s="282">
        <v>100000000</v>
      </c>
      <c r="D38" s="282">
        <v>0</v>
      </c>
      <c r="E38" s="282">
        <v>0</v>
      </c>
      <c r="F38" s="282">
        <v>0</v>
      </c>
      <c r="G38" s="282">
        <v>0</v>
      </c>
      <c r="H38" s="852">
        <v>120000000</v>
      </c>
      <c r="I38" s="282">
        <f t="shared" si="0"/>
        <v>120000000</v>
      </c>
    </row>
    <row r="39" spans="1:15" ht="23.1" customHeight="1">
      <c r="A39" s="392">
        <v>27502</v>
      </c>
      <c r="B39" s="246" t="s">
        <v>148</v>
      </c>
      <c r="C39" s="281">
        <v>0</v>
      </c>
      <c r="D39" s="281">
        <v>0</v>
      </c>
      <c r="E39" s="281">
        <v>0</v>
      </c>
      <c r="F39" s="281">
        <v>0</v>
      </c>
      <c r="G39" s="281">
        <v>0</v>
      </c>
      <c r="H39" s="887">
        <v>0</v>
      </c>
      <c r="I39" s="282">
        <f t="shared" si="0"/>
        <v>0</v>
      </c>
    </row>
    <row r="40" spans="1:15" ht="23.1" customHeight="1">
      <c r="A40" s="392">
        <v>27604</v>
      </c>
      <c r="B40" s="246" t="s">
        <v>149</v>
      </c>
      <c r="C40" s="281">
        <v>6000000</v>
      </c>
      <c r="D40" s="281">
        <v>0</v>
      </c>
      <c r="E40" s="281">
        <v>0</v>
      </c>
      <c r="F40" s="281">
        <v>0</v>
      </c>
      <c r="G40" s="281">
        <v>0</v>
      </c>
      <c r="H40" s="887">
        <v>0</v>
      </c>
      <c r="I40" s="282">
        <f t="shared" si="0"/>
        <v>0</v>
      </c>
    </row>
    <row r="41" spans="1:15" ht="23.1" customHeight="1">
      <c r="A41" s="392"/>
      <c r="B41" s="280" t="s">
        <v>92</v>
      </c>
      <c r="C41" s="284">
        <f t="shared" ref="C41:H41" si="4">SUM(C37:C40)</f>
        <v>166000000</v>
      </c>
      <c r="D41" s="284">
        <f t="shared" si="4"/>
        <v>0</v>
      </c>
      <c r="E41" s="284">
        <f t="shared" si="4"/>
        <v>0</v>
      </c>
      <c r="F41" s="284">
        <f t="shared" si="4"/>
        <v>0</v>
      </c>
      <c r="G41" s="284">
        <f t="shared" si="4"/>
        <v>0</v>
      </c>
      <c r="H41" s="888">
        <f t="shared" si="4"/>
        <v>120000000</v>
      </c>
      <c r="I41" s="283">
        <f t="shared" si="0"/>
        <v>120000000</v>
      </c>
    </row>
    <row r="42" spans="1:15" s="567" customFormat="1" ht="23.1" customHeight="1">
      <c r="A42" s="558">
        <v>2630</v>
      </c>
      <c r="B42" s="521" t="s">
        <v>426</v>
      </c>
      <c r="C42" s="246"/>
      <c r="D42" s="246"/>
      <c r="E42" s="246"/>
      <c r="F42" s="246"/>
      <c r="G42" s="246"/>
      <c r="H42" s="840"/>
      <c r="I42" s="282">
        <f t="shared" si="0"/>
        <v>0</v>
      </c>
    </row>
    <row r="43" spans="1:15" ht="23.1" customHeight="1">
      <c r="A43" s="392">
        <v>26304</v>
      </c>
      <c r="B43" s="246" t="s">
        <v>1254</v>
      </c>
      <c r="C43" s="282">
        <v>1280000000</v>
      </c>
      <c r="D43" s="282">
        <v>1560000000</v>
      </c>
      <c r="E43" s="282">
        <v>2300000000</v>
      </c>
      <c r="F43" s="282">
        <v>2480000000</v>
      </c>
      <c r="G43" s="282">
        <v>3230000000</v>
      </c>
      <c r="H43" s="852">
        <v>3980000000</v>
      </c>
      <c r="I43" s="282">
        <f t="shared" si="0"/>
        <v>750000000</v>
      </c>
    </row>
    <row r="44" spans="1:15" ht="23.1" customHeight="1">
      <c r="A44" s="392">
        <v>26315</v>
      </c>
      <c r="B44" s="282" t="s">
        <v>1255</v>
      </c>
      <c r="C44" s="282"/>
      <c r="D44" s="282"/>
      <c r="E44" s="282">
        <v>120000000</v>
      </c>
      <c r="F44" s="282">
        <v>120000000</v>
      </c>
      <c r="G44" s="282">
        <v>120000000</v>
      </c>
      <c r="H44" s="852">
        <v>300000000</v>
      </c>
      <c r="I44" s="282">
        <f t="shared" si="0"/>
        <v>180000000</v>
      </c>
      <c r="J44" s="609"/>
      <c r="K44" s="609"/>
      <c r="L44" s="609"/>
      <c r="M44" s="609"/>
      <c r="N44" s="609"/>
      <c r="O44" s="609"/>
    </row>
    <row r="45" spans="1:15" ht="23.1" customHeight="1">
      <c r="A45" s="392"/>
      <c r="B45" s="280" t="s">
        <v>92</v>
      </c>
      <c r="C45" s="280">
        <f>SUM(C43)</f>
        <v>1280000000</v>
      </c>
      <c r="D45" s="280">
        <f>SUM(D43:D43)</f>
        <v>1560000000</v>
      </c>
      <c r="E45" s="280">
        <f>SUM(E43:E44)</f>
        <v>2420000000</v>
      </c>
      <c r="F45" s="280">
        <f>SUM(F43:F44)</f>
        <v>2600000000</v>
      </c>
      <c r="G45" s="280">
        <f>SUM(G43:G44)</f>
        <v>3350000000</v>
      </c>
      <c r="H45" s="851">
        <f>SUM(H43:H44)</f>
        <v>4280000000</v>
      </c>
      <c r="I45" s="283">
        <f t="shared" si="0"/>
        <v>930000000</v>
      </c>
    </row>
    <row r="46" spans="1:15" ht="23.1" customHeight="1">
      <c r="A46" s="476">
        <v>2720</v>
      </c>
      <c r="B46" s="283" t="s">
        <v>502</v>
      </c>
      <c r="C46" s="282"/>
      <c r="D46" s="282"/>
      <c r="E46" s="282"/>
      <c r="F46" s="282"/>
      <c r="G46" s="282"/>
      <c r="H46" s="852"/>
      <c r="I46" s="282">
        <f t="shared" si="0"/>
        <v>0</v>
      </c>
      <c r="J46" s="609"/>
      <c r="K46" s="609"/>
      <c r="L46" s="609"/>
      <c r="M46" s="609"/>
      <c r="N46" s="609"/>
      <c r="O46" s="609"/>
    </row>
    <row r="47" spans="1:15" ht="23.1" customHeight="1">
      <c r="A47" s="392">
        <v>27202</v>
      </c>
      <c r="B47" s="282" t="s">
        <v>502</v>
      </c>
      <c r="C47" s="282"/>
      <c r="D47" s="282"/>
      <c r="E47" s="282"/>
      <c r="F47" s="282">
        <v>0</v>
      </c>
      <c r="G47" s="282">
        <v>2200000000</v>
      </c>
      <c r="H47" s="852">
        <v>0</v>
      </c>
      <c r="I47" s="282">
        <f t="shared" si="0"/>
        <v>-2200000000</v>
      </c>
      <c r="J47" s="609"/>
      <c r="K47" s="609"/>
      <c r="L47" s="609"/>
      <c r="M47" s="609"/>
      <c r="N47" s="609"/>
      <c r="O47" s="609"/>
    </row>
    <row r="48" spans="1:15" ht="23.1" customHeight="1">
      <c r="A48" s="392"/>
      <c r="B48" s="283" t="s">
        <v>92</v>
      </c>
      <c r="C48" s="282"/>
      <c r="D48" s="282"/>
      <c r="E48" s="282"/>
      <c r="F48" s="282">
        <f>SUM(F47)</f>
        <v>0</v>
      </c>
      <c r="G48" s="283">
        <f>SUM(G47)</f>
        <v>2200000000</v>
      </c>
      <c r="H48" s="869">
        <f>SUM(H47)</f>
        <v>0</v>
      </c>
      <c r="I48" s="283">
        <f t="shared" si="0"/>
        <v>-2200000000</v>
      </c>
      <c r="J48" s="609"/>
      <c r="K48" s="609"/>
      <c r="L48" s="609"/>
      <c r="M48" s="609"/>
      <c r="N48" s="609"/>
      <c r="O48" s="609"/>
    </row>
    <row r="49" spans="1:15" ht="23.1" customHeight="1">
      <c r="A49" s="628">
        <v>2810</v>
      </c>
      <c r="B49" s="308" t="s">
        <v>1376</v>
      </c>
      <c r="C49" s="282"/>
      <c r="D49" s="282"/>
      <c r="E49" s="282"/>
      <c r="F49" s="282"/>
      <c r="G49" s="283"/>
      <c r="H49" s="869"/>
      <c r="I49" s="283"/>
      <c r="J49" s="609"/>
      <c r="K49" s="609"/>
      <c r="L49" s="609"/>
      <c r="M49" s="609"/>
      <c r="N49" s="609"/>
      <c r="O49" s="609"/>
    </row>
    <row r="50" spans="1:15" ht="23.1" customHeight="1">
      <c r="A50" s="632">
        <v>28102</v>
      </c>
      <c r="B50" s="307" t="s">
        <v>1411</v>
      </c>
      <c r="C50" s="282"/>
      <c r="D50" s="282"/>
      <c r="E50" s="282"/>
      <c r="F50" s="282"/>
      <c r="G50" s="283"/>
      <c r="H50" s="852">
        <v>18000000</v>
      </c>
      <c r="I50" s="283"/>
      <c r="J50" s="609"/>
      <c r="K50" s="609"/>
      <c r="L50" s="609"/>
      <c r="M50" s="609"/>
      <c r="N50" s="609"/>
      <c r="O50" s="609"/>
    </row>
    <row r="51" spans="1:15" ht="23.1" customHeight="1">
      <c r="A51" s="632"/>
      <c r="B51" s="280" t="s">
        <v>92</v>
      </c>
      <c r="C51" s="282"/>
      <c r="D51" s="282"/>
      <c r="E51" s="282"/>
      <c r="F51" s="282"/>
      <c r="G51" s="283"/>
      <c r="H51" s="869">
        <f>SUM(H50)</f>
        <v>18000000</v>
      </c>
      <c r="I51" s="283"/>
      <c r="J51" s="609"/>
      <c r="K51" s="609"/>
      <c r="L51" s="609"/>
      <c r="M51" s="609"/>
      <c r="N51" s="609"/>
      <c r="O51" s="609"/>
    </row>
    <row r="52" spans="1:15" ht="27.75" customHeight="1">
      <c r="A52" s="392"/>
      <c r="B52" s="280" t="s">
        <v>37</v>
      </c>
      <c r="C52" s="284" t="e">
        <f>#REF!+C45+C41+C34+C29+C23</f>
        <v>#REF!</v>
      </c>
      <c r="D52" s="284">
        <f>D45+D34+D29+D23+D9+D41</f>
        <v>1921813600</v>
      </c>
      <c r="E52" s="284">
        <f>E45+E34+E29+E23+E9+E41</f>
        <v>3019436960</v>
      </c>
      <c r="F52" s="284">
        <f>F45+F34+F29+F23+F9+F41</f>
        <v>3231888800</v>
      </c>
      <c r="G52" s="284">
        <f>G45+G34+G29+G23+G9+G41+G48</f>
        <v>6259177920</v>
      </c>
      <c r="H52" s="888">
        <f>H45+H34+H29+H23+H9+H41+H48+H51</f>
        <v>5514519680</v>
      </c>
      <c r="I52" s="283">
        <f t="shared" si="0"/>
        <v>-744658240</v>
      </c>
    </row>
  </sheetData>
  <pageMargins left="0.7" right="0.7" top="0.75" bottom="0.75" header="0.3" footer="0.3"/>
  <pageSetup scale="54" orientation="portrait" r:id="rId1"/>
  <headerFooter>
    <oddHeader xml:space="preserve">&amp;C&amp;"Algerian,Bold"&amp;36AGAASIMKA TACLIINTA SARE </oddHeader>
    <oddFooter>&amp;R&amp;"Times New Roman,Bold"&amp;12 40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topLeftCell="A23" zoomScale="60" zoomScalePageLayoutView="70" workbookViewId="0">
      <selection activeCell="H45" sqref="H45"/>
    </sheetView>
  </sheetViews>
  <sheetFormatPr defaultRowHeight="24.95" customHeight="1"/>
  <cols>
    <col min="1" max="1" width="18.1640625" style="565" bestFit="1" customWidth="1"/>
    <col min="2" max="2" width="73.1640625" style="399" customWidth="1"/>
    <col min="3" max="3" width="17.83203125" style="399" hidden="1" customWidth="1"/>
    <col min="4" max="5" width="24.5" style="399" hidden="1" customWidth="1"/>
    <col min="6" max="6" width="26.5" style="399" hidden="1" customWidth="1"/>
    <col min="7" max="8" width="26.33203125" style="399" customWidth="1"/>
    <col min="9" max="9" width="27.5" style="399" bestFit="1" customWidth="1"/>
    <col min="10" max="16384" width="9.33203125" style="399"/>
  </cols>
  <sheetData>
    <row r="1" spans="1:9" ht="24.95" customHeight="1">
      <c r="A1" s="581" t="s">
        <v>39</v>
      </c>
      <c r="B1" s="380" t="s">
        <v>1014</v>
      </c>
      <c r="C1" s="380"/>
      <c r="D1" s="380"/>
      <c r="E1" s="380"/>
      <c r="F1" s="380"/>
      <c r="G1" s="380"/>
      <c r="H1" s="380"/>
      <c r="I1" s="380"/>
    </row>
    <row r="2" spans="1:9" ht="24.95" customHeight="1">
      <c r="A2" s="581" t="s">
        <v>25</v>
      </c>
      <c r="B2" s="380" t="s">
        <v>26</v>
      </c>
      <c r="C2" s="380" t="s">
        <v>294</v>
      </c>
      <c r="D2" s="380" t="s">
        <v>814</v>
      </c>
      <c r="E2" s="380" t="s">
        <v>874</v>
      </c>
      <c r="F2" s="380" t="s">
        <v>973</v>
      </c>
      <c r="G2" s="380" t="s">
        <v>1160</v>
      </c>
      <c r="H2" s="380" t="s">
        <v>1320</v>
      </c>
      <c r="I2" s="380" t="s">
        <v>56</v>
      </c>
    </row>
    <row r="3" spans="1:9" ht="24.95" customHeight="1">
      <c r="A3" s="573">
        <v>210</v>
      </c>
      <c r="B3" s="298" t="s">
        <v>137</v>
      </c>
      <c r="C3" s="298"/>
      <c r="D3" s="298"/>
      <c r="E3" s="298"/>
      <c r="F3" s="298"/>
      <c r="G3" s="298"/>
      <c r="H3" s="298"/>
      <c r="I3" s="298"/>
    </row>
    <row r="4" spans="1:9" ht="24.95" customHeight="1">
      <c r="A4" s="573">
        <v>2110</v>
      </c>
      <c r="B4" s="298" t="s">
        <v>213</v>
      </c>
      <c r="C4" s="298"/>
      <c r="D4" s="298"/>
      <c r="E4" s="298"/>
      <c r="F4" s="298"/>
      <c r="G4" s="298"/>
      <c r="H4" s="298"/>
      <c r="I4" s="298"/>
    </row>
    <row r="5" spans="1:9" ht="24.95" customHeight="1">
      <c r="A5" s="574">
        <v>21101</v>
      </c>
      <c r="B5" s="273" t="s">
        <v>28</v>
      </c>
      <c r="C5" s="273"/>
      <c r="D5" s="273">
        <v>137810400</v>
      </c>
      <c r="E5" s="273">
        <v>165372480</v>
      </c>
      <c r="F5" s="273">
        <v>160842240</v>
      </c>
      <c r="G5" s="273">
        <v>160842240</v>
      </c>
      <c r="H5" s="247">
        <v>193811904</v>
      </c>
      <c r="I5" s="273">
        <f>H5-G5</f>
        <v>32969664</v>
      </c>
    </row>
    <row r="6" spans="1:9" ht="24.95" customHeight="1">
      <c r="A6" s="574">
        <v>21102</v>
      </c>
      <c r="B6" s="273" t="s">
        <v>592</v>
      </c>
      <c r="C6" s="273">
        <v>0</v>
      </c>
      <c r="D6" s="273">
        <v>0</v>
      </c>
      <c r="E6" s="273">
        <v>0</v>
      </c>
      <c r="F6" s="273">
        <v>0</v>
      </c>
      <c r="G6" s="273">
        <v>0</v>
      </c>
      <c r="H6" s="247">
        <v>0</v>
      </c>
      <c r="I6" s="273">
        <f t="shared" ref="I6:I45" si="0">H6-G6</f>
        <v>0</v>
      </c>
    </row>
    <row r="7" spans="1:9" ht="24.95" customHeight="1">
      <c r="A7" s="574">
        <v>21103</v>
      </c>
      <c r="B7" s="273" t="s">
        <v>30</v>
      </c>
      <c r="C7" s="273">
        <v>0</v>
      </c>
      <c r="D7" s="273">
        <v>288800000</v>
      </c>
      <c r="E7" s="273">
        <v>384800000</v>
      </c>
      <c r="F7" s="273">
        <v>474000000</v>
      </c>
      <c r="G7" s="273">
        <v>474000000</v>
      </c>
      <c r="H7" s="247">
        <v>666000000</v>
      </c>
      <c r="I7" s="273">
        <f t="shared" si="0"/>
        <v>192000000</v>
      </c>
    </row>
    <row r="8" spans="1:9" ht="24.95" customHeight="1">
      <c r="A8" s="574">
        <v>21105</v>
      </c>
      <c r="B8" s="273" t="s">
        <v>526</v>
      </c>
      <c r="C8" s="273"/>
      <c r="D8" s="273">
        <v>0</v>
      </c>
      <c r="E8" s="273">
        <v>200000000</v>
      </c>
      <c r="F8" s="273">
        <v>205200000</v>
      </c>
      <c r="G8" s="273">
        <v>205200000</v>
      </c>
      <c r="H8" s="247">
        <v>241200000</v>
      </c>
      <c r="I8" s="273">
        <f t="shared" si="0"/>
        <v>36000000</v>
      </c>
    </row>
    <row r="9" spans="1:9" ht="24.95" customHeight="1">
      <c r="A9" s="574"/>
      <c r="B9" s="298" t="s">
        <v>92</v>
      </c>
      <c r="C9" s="273">
        <v>0</v>
      </c>
      <c r="D9" s="298">
        <f>SUM(D5:D8)</f>
        <v>426610400</v>
      </c>
      <c r="E9" s="298">
        <f>SUM(E5:E8)</f>
        <v>750172480</v>
      </c>
      <c r="F9" s="298">
        <f>SUM(F5:F8)</f>
        <v>840042240</v>
      </c>
      <c r="G9" s="298">
        <f>SUM(G5:G8)</f>
        <v>840042240</v>
      </c>
      <c r="H9" s="256">
        <f>SUM(H5:H8)</f>
        <v>1101011904</v>
      </c>
      <c r="I9" s="298">
        <f t="shared" si="0"/>
        <v>260969664</v>
      </c>
    </row>
    <row r="10" spans="1:9" ht="24.95" customHeight="1">
      <c r="A10" s="573">
        <v>220</v>
      </c>
      <c r="B10" s="298" t="s">
        <v>225</v>
      </c>
      <c r="C10" s="273">
        <v>0</v>
      </c>
      <c r="D10" s="298"/>
      <c r="E10" s="298"/>
      <c r="F10" s="298"/>
      <c r="G10" s="298"/>
      <c r="H10" s="256"/>
      <c r="I10" s="273">
        <f t="shared" si="0"/>
        <v>0</v>
      </c>
    </row>
    <row r="11" spans="1:9" ht="24.95" customHeight="1">
      <c r="A11" s="573">
        <v>2210</v>
      </c>
      <c r="B11" s="298" t="s">
        <v>226</v>
      </c>
      <c r="C11" s="273">
        <v>0</v>
      </c>
      <c r="D11" s="298"/>
      <c r="E11" s="298"/>
      <c r="F11" s="298"/>
      <c r="G11" s="298"/>
      <c r="H11" s="256"/>
      <c r="I11" s="273">
        <f t="shared" si="0"/>
        <v>0</v>
      </c>
    </row>
    <row r="12" spans="1:9" ht="24.95" customHeight="1">
      <c r="A12" s="574">
        <v>22101</v>
      </c>
      <c r="B12" s="273" t="s">
        <v>33</v>
      </c>
      <c r="C12" s="273">
        <v>0</v>
      </c>
      <c r="D12" s="273">
        <v>10000000</v>
      </c>
      <c r="E12" s="273">
        <v>38800000</v>
      </c>
      <c r="F12" s="273">
        <v>100000000</v>
      </c>
      <c r="G12" s="273">
        <v>100000000</v>
      </c>
      <c r="H12" s="247">
        <v>100000000</v>
      </c>
      <c r="I12" s="273">
        <f t="shared" si="0"/>
        <v>0</v>
      </c>
    </row>
    <row r="13" spans="1:9" ht="24.95" customHeight="1">
      <c r="A13" s="574">
        <v>22102</v>
      </c>
      <c r="B13" s="273" t="s">
        <v>337</v>
      </c>
      <c r="C13" s="273">
        <v>0</v>
      </c>
      <c r="D13" s="273">
        <v>28800000</v>
      </c>
      <c r="E13" s="273">
        <v>0</v>
      </c>
      <c r="F13" s="273">
        <v>0</v>
      </c>
      <c r="G13" s="273">
        <v>0</v>
      </c>
      <c r="H13" s="247">
        <v>0</v>
      </c>
      <c r="I13" s="273">
        <f t="shared" si="0"/>
        <v>0</v>
      </c>
    </row>
    <row r="14" spans="1:9" ht="24.95" customHeight="1">
      <c r="A14" s="574">
        <v>22104</v>
      </c>
      <c r="B14" s="273" t="s">
        <v>157</v>
      </c>
      <c r="C14" s="273">
        <v>0</v>
      </c>
      <c r="D14" s="273">
        <v>5000000</v>
      </c>
      <c r="E14" s="273">
        <v>5000000</v>
      </c>
      <c r="F14" s="273">
        <v>30000000</v>
      </c>
      <c r="G14" s="273">
        <v>30000000</v>
      </c>
      <c r="H14" s="247">
        <v>42000000</v>
      </c>
      <c r="I14" s="273">
        <f t="shared" si="0"/>
        <v>12000000</v>
      </c>
    </row>
    <row r="15" spans="1:9" ht="24.95" customHeight="1">
      <c r="A15" s="574">
        <v>22105</v>
      </c>
      <c r="B15" s="273" t="s">
        <v>578</v>
      </c>
      <c r="C15" s="273">
        <v>0</v>
      </c>
      <c r="D15" s="273">
        <v>50400000</v>
      </c>
      <c r="E15" s="273">
        <v>63500000</v>
      </c>
      <c r="F15" s="273">
        <v>63500000</v>
      </c>
      <c r="G15" s="273">
        <v>63500000</v>
      </c>
      <c r="H15" s="247">
        <v>64800000</v>
      </c>
      <c r="I15" s="273">
        <f t="shared" si="0"/>
        <v>1300000</v>
      </c>
    </row>
    <row r="16" spans="1:9" ht="24.95" customHeight="1">
      <c r="A16" s="574">
        <v>22106</v>
      </c>
      <c r="B16" s="273" t="s">
        <v>126</v>
      </c>
      <c r="C16" s="273">
        <v>0</v>
      </c>
      <c r="D16" s="273"/>
      <c r="E16" s="273"/>
      <c r="F16" s="273"/>
      <c r="G16" s="273"/>
      <c r="H16" s="247">
        <v>14400000</v>
      </c>
      <c r="I16" s="273">
        <f t="shared" si="0"/>
        <v>14400000</v>
      </c>
    </row>
    <row r="17" spans="1:9" ht="24.95" customHeight="1">
      <c r="A17" s="574">
        <v>22107</v>
      </c>
      <c r="B17" s="273" t="s">
        <v>48</v>
      </c>
      <c r="C17" s="273">
        <v>0</v>
      </c>
      <c r="D17" s="273"/>
      <c r="E17" s="273"/>
      <c r="F17" s="273"/>
      <c r="G17" s="273"/>
      <c r="H17" s="247"/>
      <c r="I17" s="273">
        <f t="shared" si="0"/>
        <v>0</v>
      </c>
    </row>
    <row r="18" spans="1:9" ht="24.95" customHeight="1">
      <c r="A18" s="574">
        <v>22109</v>
      </c>
      <c r="B18" s="273" t="s">
        <v>136</v>
      </c>
      <c r="C18" s="273">
        <v>0</v>
      </c>
      <c r="D18" s="273">
        <v>10000000</v>
      </c>
      <c r="E18" s="273">
        <v>10000000</v>
      </c>
      <c r="F18" s="273">
        <v>10000000</v>
      </c>
      <c r="G18" s="273">
        <v>10000000</v>
      </c>
      <c r="H18" s="247">
        <v>10000000</v>
      </c>
      <c r="I18" s="273">
        <f t="shared" si="0"/>
        <v>0</v>
      </c>
    </row>
    <row r="19" spans="1:9" ht="24.95" customHeight="1">
      <c r="A19" s="574">
        <v>22112</v>
      </c>
      <c r="B19" s="273" t="s">
        <v>35</v>
      </c>
      <c r="C19" s="273">
        <v>0</v>
      </c>
      <c r="D19" s="273">
        <v>3000000</v>
      </c>
      <c r="E19" s="273">
        <v>3000000</v>
      </c>
      <c r="F19" s="273">
        <v>10920000</v>
      </c>
      <c r="G19" s="273">
        <v>10920000</v>
      </c>
      <c r="H19" s="247">
        <v>10920000</v>
      </c>
      <c r="I19" s="273">
        <f t="shared" si="0"/>
        <v>0</v>
      </c>
    </row>
    <row r="20" spans="1:9" ht="24.95" customHeight="1">
      <c r="A20" s="574">
        <v>22129</v>
      </c>
      <c r="B20" s="273" t="s">
        <v>359</v>
      </c>
      <c r="C20" s="273">
        <v>0</v>
      </c>
      <c r="D20" s="273"/>
      <c r="E20" s="273"/>
      <c r="F20" s="273"/>
      <c r="G20" s="273"/>
      <c r="H20" s="247"/>
      <c r="I20" s="273">
        <f t="shared" si="0"/>
        <v>0</v>
      </c>
    </row>
    <row r="21" spans="1:9" ht="24.95" customHeight="1">
      <c r="A21" s="574">
        <v>22132</v>
      </c>
      <c r="B21" s="273" t="s">
        <v>187</v>
      </c>
      <c r="C21" s="273">
        <v>0</v>
      </c>
      <c r="D21" s="273"/>
      <c r="E21" s="273"/>
      <c r="F21" s="273"/>
      <c r="G21" s="273"/>
      <c r="H21" s="247"/>
      <c r="I21" s="273">
        <f t="shared" si="0"/>
        <v>0</v>
      </c>
    </row>
    <row r="22" spans="1:9" ht="24.95" customHeight="1">
      <c r="A22" s="574">
        <v>22137</v>
      </c>
      <c r="B22" s="273" t="s">
        <v>272</v>
      </c>
      <c r="C22" s="273">
        <v>0</v>
      </c>
      <c r="D22" s="273">
        <v>0</v>
      </c>
      <c r="E22" s="273">
        <v>0</v>
      </c>
      <c r="F22" s="273">
        <v>0</v>
      </c>
      <c r="G22" s="273">
        <v>0</v>
      </c>
      <c r="H22" s="247">
        <v>0</v>
      </c>
      <c r="I22" s="273">
        <f t="shared" si="0"/>
        <v>0</v>
      </c>
    </row>
    <row r="23" spans="1:9" ht="24.95" customHeight="1">
      <c r="A23" s="574"/>
      <c r="B23" s="298" t="s">
        <v>92</v>
      </c>
      <c r="C23" s="273">
        <v>0</v>
      </c>
      <c r="D23" s="298">
        <f>SUM(D12:D22)</f>
        <v>107200000</v>
      </c>
      <c r="E23" s="298">
        <f>SUM(E12:E22)</f>
        <v>120300000</v>
      </c>
      <c r="F23" s="298">
        <f>SUM(F12:F22)</f>
        <v>214420000</v>
      </c>
      <c r="G23" s="298">
        <f>SUM(G12:G22)</f>
        <v>214420000</v>
      </c>
      <c r="H23" s="256">
        <f>SUM(H12:H22)</f>
        <v>242120000</v>
      </c>
      <c r="I23" s="298">
        <f t="shared" si="0"/>
        <v>27700000</v>
      </c>
    </row>
    <row r="24" spans="1:9" ht="24.95" customHeight="1">
      <c r="A24" s="573">
        <v>2220</v>
      </c>
      <c r="B24" s="298" t="s">
        <v>240</v>
      </c>
      <c r="C24" s="273">
        <v>0</v>
      </c>
      <c r="D24" s="298"/>
      <c r="E24" s="298"/>
      <c r="F24" s="298"/>
      <c r="G24" s="298"/>
      <c r="H24" s="256"/>
      <c r="I24" s="273">
        <f t="shared" si="0"/>
        <v>0</v>
      </c>
    </row>
    <row r="25" spans="1:9" ht="24.95" customHeight="1">
      <c r="A25" s="574">
        <v>22202</v>
      </c>
      <c r="B25" s="273" t="s">
        <v>133</v>
      </c>
      <c r="C25" s="273">
        <v>0</v>
      </c>
      <c r="D25" s="273">
        <v>35000000</v>
      </c>
      <c r="E25" s="273">
        <v>35000000</v>
      </c>
      <c r="F25" s="273">
        <v>70000000</v>
      </c>
      <c r="G25" s="273">
        <v>180000000</v>
      </c>
      <c r="H25" s="247">
        <v>180000000</v>
      </c>
      <c r="I25" s="273">
        <f t="shared" si="0"/>
        <v>0</v>
      </c>
    </row>
    <row r="26" spans="1:9" ht="24.95" customHeight="1">
      <c r="A26" s="574">
        <v>22203</v>
      </c>
      <c r="B26" s="273" t="s">
        <v>127</v>
      </c>
      <c r="C26" s="273">
        <v>0</v>
      </c>
      <c r="D26" s="273">
        <v>10000000</v>
      </c>
      <c r="E26" s="273">
        <v>10000000</v>
      </c>
      <c r="F26" s="273">
        <v>10000000</v>
      </c>
      <c r="G26" s="273">
        <v>10000000</v>
      </c>
      <c r="H26" s="247">
        <v>20000000</v>
      </c>
      <c r="I26" s="273">
        <f t="shared" si="0"/>
        <v>10000000</v>
      </c>
    </row>
    <row r="27" spans="1:9" ht="24.95" customHeight="1">
      <c r="A27" s="574">
        <v>22204</v>
      </c>
      <c r="B27" s="273" t="s">
        <v>128</v>
      </c>
      <c r="C27" s="273">
        <v>0</v>
      </c>
      <c r="D27" s="273">
        <v>2000000</v>
      </c>
      <c r="E27" s="273">
        <v>2000000</v>
      </c>
      <c r="F27" s="273">
        <v>2000000</v>
      </c>
      <c r="G27" s="273">
        <v>2000000</v>
      </c>
      <c r="H27" s="247">
        <v>10000000</v>
      </c>
      <c r="I27" s="273">
        <f t="shared" si="0"/>
        <v>8000000</v>
      </c>
    </row>
    <row r="28" spans="1:9" ht="24.95" customHeight="1">
      <c r="A28" s="574">
        <v>22207</v>
      </c>
      <c r="B28" s="273" t="s">
        <v>358</v>
      </c>
      <c r="C28" s="273">
        <v>0</v>
      </c>
      <c r="D28" s="273"/>
      <c r="E28" s="273"/>
      <c r="F28" s="273"/>
      <c r="G28" s="273"/>
      <c r="H28" s="247"/>
      <c r="I28" s="273">
        <f t="shared" si="0"/>
        <v>0</v>
      </c>
    </row>
    <row r="29" spans="1:9" ht="24.95" customHeight="1">
      <c r="A29" s="574"/>
      <c r="B29" s="298" t="s">
        <v>92</v>
      </c>
      <c r="C29" s="273">
        <v>0</v>
      </c>
      <c r="D29" s="298">
        <f>SUM(D25:D28)</f>
        <v>47000000</v>
      </c>
      <c r="E29" s="298">
        <f>SUM(E25:E28)</f>
        <v>47000000</v>
      </c>
      <c r="F29" s="298">
        <f>SUM(F25:F28)</f>
        <v>82000000</v>
      </c>
      <c r="G29" s="298">
        <f>SUM(G25:G28)</f>
        <v>192000000</v>
      </c>
      <c r="H29" s="256">
        <f>SUM(H25:H28)</f>
        <v>210000000</v>
      </c>
      <c r="I29" s="298">
        <f t="shared" si="0"/>
        <v>18000000</v>
      </c>
    </row>
    <row r="30" spans="1:9" ht="24.95" customHeight="1">
      <c r="A30" s="573">
        <v>2230</v>
      </c>
      <c r="B30" s="298" t="s">
        <v>130</v>
      </c>
      <c r="C30" s="273">
        <v>0</v>
      </c>
      <c r="D30" s="298"/>
      <c r="E30" s="298"/>
      <c r="F30" s="298"/>
      <c r="G30" s="298"/>
      <c r="H30" s="256"/>
      <c r="I30" s="273">
        <f t="shared" si="0"/>
        <v>0</v>
      </c>
    </row>
    <row r="31" spans="1:9" ht="24.95" customHeight="1">
      <c r="A31" s="574">
        <v>22301</v>
      </c>
      <c r="B31" s="273" t="s">
        <v>49</v>
      </c>
      <c r="C31" s="273">
        <v>0</v>
      </c>
      <c r="D31" s="273">
        <v>10000000</v>
      </c>
      <c r="E31" s="273">
        <v>10000000</v>
      </c>
      <c r="F31" s="273">
        <v>10000000</v>
      </c>
      <c r="G31" s="273">
        <v>30000000</v>
      </c>
      <c r="H31" s="247">
        <v>30000000</v>
      </c>
      <c r="I31" s="273">
        <f t="shared" si="0"/>
        <v>0</v>
      </c>
    </row>
    <row r="32" spans="1:9" ht="24.95" customHeight="1">
      <c r="A32" s="574">
        <v>22302</v>
      </c>
      <c r="B32" s="273" t="s">
        <v>249</v>
      </c>
      <c r="C32" s="273">
        <v>0</v>
      </c>
      <c r="D32" s="273"/>
      <c r="E32" s="273"/>
      <c r="F32" s="273"/>
      <c r="G32" s="273"/>
      <c r="H32" s="247"/>
      <c r="I32" s="273">
        <f t="shared" si="0"/>
        <v>0</v>
      </c>
    </row>
    <row r="33" spans="1:9" ht="24.95" customHeight="1">
      <c r="A33" s="574">
        <v>22313</v>
      </c>
      <c r="B33" s="273" t="s">
        <v>251</v>
      </c>
      <c r="C33" s="273">
        <v>0</v>
      </c>
      <c r="D33" s="273"/>
      <c r="E33" s="273"/>
      <c r="F33" s="273"/>
      <c r="G33" s="273"/>
      <c r="H33" s="247"/>
      <c r="I33" s="273">
        <f t="shared" si="0"/>
        <v>0</v>
      </c>
    </row>
    <row r="34" spans="1:9" ht="24.95" customHeight="1">
      <c r="A34" s="574"/>
      <c r="B34" s="298" t="s">
        <v>92</v>
      </c>
      <c r="C34" s="273">
        <v>0</v>
      </c>
      <c r="D34" s="298">
        <f>SUM(D31:D33)</f>
        <v>10000000</v>
      </c>
      <c r="E34" s="298">
        <f>SUM(E31:E33)</f>
        <v>10000000</v>
      </c>
      <c r="F34" s="298">
        <f>SUM(F31:F33)</f>
        <v>10000000</v>
      </c>
      <c r="G34" s="298">
        <f>SUM(G31:G33)</f>
        <v>30000000</v>
      </c>
      <c r="H34" s="256">
        <f>SUM(H31:H33)</f>
        <v>30000000</v>
      </c>
      <c r="I34" s="298">
        <f t="shared" si="0"/>
        <v>0</v>
      </c>
    </row>
    <row r="35" spans="1:9" ht="24.95" customHeight="1">
      <c r="A35" s="573">
        <v>270</v>
      </c>
      <c r="B35" s="298" t="s">
        <v>253</v>
      </c>
      <c r="C35" s="273">
        <v>0</v>
      </c>
      <c r="D35" s="298"/>
      <c r="E35" s="298"/>
      <c r="F35" s="298"/>
      <c r="G35" s="298"/>
      <c r="H35" s="256"/>
      <c r="I35" s="273">
        <f t="shared" si="0"/>
        <v>0</v>
      </c>
    </row>
    <row r="36" spans="1:9" ht="24.95" customHeight="1">
      <c r="A36" s="573">
        <v>2710</v>
      </c>
      <c r="B36" s="298" t="s">
        <v>252</v>
      </c>
      <c r="C36" s="273">
        <v>0</v>
      </c>
      <c r="D36" s="298"/>
      <c r="E36" s="298"/>
      <c r="F36" s="298"/>
      <c r="G36" s="298"/>
      <c r="H36" s="256"/>
      <c r="I36" s="273">
        <f t="shared" si="0"/>
        <v>0</v>
      </c>
    </row>
    <row r="37" spans="1:9" ht="24.95" customHeight="1">
      <c r="A37" s="574">
        <v>27601</v>
      </c>
      <c r="B37" s="273" t="s">
        <v>472</v>
      </c>
      <c r="C37" s="273">
        <v>0</v>
      </c>
      <c r="D37" s="273"/>
      <c r="E37" s="273"/>
      <c r="F37" s="273"/>
      <c r="G37" s="273"/>
      <c r="H37" s="247"/>
      <c r="I37" s="273">
        <f t="shared" si="0"/>
        <v>0</v>
      </c>
    </row>
    <row r="38" spans="1:9" ht="24.95" customHeight="1">
      <c r="A38" s="574">
        <v>27402</v>
      </c>
      <c r="B38" s="273" t="s">
        <v>474</v>
      </c>
      <c r="C38" s="273">
        <v>0</v>
      </c>
      <c r="D38" s="273"/>
      <c r="E38" s="273"/>
      <c r="F38" s="273"/>
      <c r="G38" s="273">
        <v>200000000</v>
      </c>
      <c r="H38" s="247">
        <v>0</v>
      </c>
      <c r="I38" s="273">
        <f t="shared" si="0"/>
        <v>-200000000</v>
      </c>
    </row>
    <row r="39" spans="1:9" ht="24.95" customHeight="1">
      <c r="A39" s="574">
        <v>27502</v>
      </c>
      <c r="B39" s="273" t="s">
        <v>148</v>
      </c>
      <c r="C39" s="273">
        <v>0</v>
      </c>
      <c r="D39" s="273"/>
      <c r="E39" s="273"/>
      <c r="F39" s="273"/>
      <c r="G39" s="273"/>
      <c r="H39" s="247"/>
      <c r="I39" s="273">
        <f t="shared" si="0"/>
        <v>0</v>
      </c>
    </row>
    <row r="40" spans="1:9" ht="24.95" customHeight="1">
      <c r="A40" s="574">
        <v>27604</v>
      </c>
      <c r="B40" s="273" t="s">
        <v>149</v>
      </c>
      <c r="C40" s="273">
        <v>0</v>
      </c>
      <c r="D40" s="273"/>
      <c r="E40" s="273"/>
      <c r="F40" s="273"/>
      <c r="G40" s="273"/>
      <c r="H40" s="247"/>
      <c r="I40" s="273">
        <f t="shared" si="0"/>
        <v>0</v>
      </c>
    </row>
    <row r="41" spans="1:9" ht="24.95" customHeight="1">
      <c r="A41" s="574"/>
      <c r="B41" s="298" t="s">
        <v>92</v>
      </c>
      <c r="C41" s="273">
        <v>0</v>
      </c>
      <c r="D41" s="298">
        <f>SUM(D37:D40)</f>
        <v>0</v>
      </c>
      <c r="E41" s="298">
        <f>SUM(E37:E40)</f>
        <v>0</v>
      </c>
      <c r="F41" s="298">
        <f>SUM(F37:F40)</f>
        <v>0</v>
      </c>
      <c r="G41" s="298">
        <f>SUM(G37:G40)</f>
        <v>200000000</v>
      </c>
      <c r="H41" s="256">
        <f>SUM(H37:H40)</f>
        <v>0</v>
      </c>
      <c r="I41" s="273">
        <f t="shared" si="0"/>
        <v>-200000000</v>
      </c>
    </row>
    <row r="42" spans="1:9" ht="24.95" customHeight="1">
      <c r="A42" s="574">
        <v>2720</v>
      </c>
      <c r="B42" s="298" t="s">
        <v>502</v>
      </c>
      <c r="C42" s="273"/>
      <c r="D42" s="298"/>
      <c r="E42" s="298"/>
      <c r="F42" s="298"/>
      <c r="G42" s="298"/>
      <c r="H42" s="256"/>
      <c r="I42" s="273">
        <f t="shared" si="0"/>
        <v>0</v>
      </c>
    </row>
    <row r="43" spans="1:9" ht="24.95" customHeight="1">
      <c r="A43" s="574">
        <v>27202</v>
      </c>
      <c r="B43" s="273" t="s">
        <v>1351</v>
      </c>
      <c r="C43" s="273"/>
      <c r="D43" s="298"/>
      <c r="E43" s="298"/>
      <c r="F43" s="298"/>
      <c r="G43" s="298">
        <v>0</v>
      </c>
      <c r="H43" s="247">
        <v>0</v>
      </c>
      <c r="I43" s="273">
        <f t="shared" si="0"/>
        <v>0</v>
      </c>
    </row>
    <row r="44" spans="1:9" ht="24.95" customHeight="1">
      <c r="A44" s="574"/>
      <c r="B44" s="298" t="s">
        <v>92</v>
      </c>
      <c r="C44" s="273"/>
      <c r="D44" s="298"/>
      <c r="E44" s="298"/>
      <c r="F44" s="298"/>
      <c r="G44" s="298"/>
      <c r="H44" s="256">
        <f>SUM(H43)</f>
        <v>0</v>
      </c>
      <c r="I44" s="298">
        <f t="shared" si="0"/>
        <v>0</v>
      </c>
    </row>
    <row r="45" spans="1:9" ht="24.95" customHeight="1">
      <c r="A45" s="574"/>
      <c r="B45" s="298" t="s">
        <v>37</v>
      </c>
      <c r="C45" s="273">
        <v>0</v>
      </c>
      <c r="D45" s="298">
        <f>D41+D34+D29+D23+D9</f>
        <v>590810400</v>
      </c>
      <c r="E45" s="298">
        <f>E41+E34+E29+E23+E9</f>
        <v>927472480</v>
      </c>
      <c r="F45" s="298">
        <f>F41+F34+F29+F23+F9</f>
        <v>1146462240</v>
      </c>
      <c r="G45" s="298">
        <f>G41+G34+G29+G23+G9</f>
        <v>1476462240</v>
      </c>
      <c r="H45" s="256">
        <f>H41+H34+H29+H23+H9+H44</f>
        <v>1583131904</v>
      </c>
      <c r="I45" s="298">
        <f t="shared" si="0"/>
        <v>106669664</v>
      </c>
    </row>
    <row r="46" spans="1:9" ht="24.95" customHeight="1">
      <c r="A46" s="610" t="s">
        <v>596</v>
      </c>
      <c r="B46" s="611" t="s">
        <v>593</v>
      </c>
      <c r="C46" s="612" t="s">
        <v>594</v>
      </c>
      <c r="D46" s="612" t="s">
        <v>595</v>
      </c>
      <c r="E46" s="612"/>
      <c r="F46" s="612"/>
      <c r="G46" s="612"/>
      <c r="H46" s="612"/>
      <c r="I46" s="612"/>
    </row>
  </sheetData>
  <pageMargins left="0.7" right="0.45" top="0.75" bottom="0.75" header="0.3" footer="0.3"/>
  <pageSetup scale="60" orientation="portrait" horizontalDpi="300" verticalDpi="300" r:id="rId1"/>
  <headerFooter>
    <oddHeader>&amp;C&amp;"Algerian,Bold"&amp;36GUDIDA TACLIINTA SARRE</oddHeader>
    <oddFooter>&amp;R&amp;"Times New Roman,Bold"&amp;12 41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68"/>
  <sheetViews>
    <sheetView view="pageBreakPreview" topLeftCell="A46" zoomScale="60" workbookViewId="0">
      <selection activeCell="P66" sqref="P66"/>
    </sheetView>
  </sheetViews>
  <sheetFormatPr defaultRowHeight="19.5" customHeight="1"/>
  <cols>
    <col min="1" max="1" width="19.33203125" style="584" bestFit="1" customWidth="1"/>
    <col min="2" max="2" width="91.1640625" style="528" customWidth="1"/>
    <col min="3" max="4" width="16.1640625" style="528" hidden="1" customWidth="1"/>
    <col min="5" max="5" width="0.5" style="528" hidden="1" customWidth="1"/>
    <col min="6" max="6" width="10.6640625" style="528" hidden="1" customWidth="1"/>
    <col min="7" max="7" width="6" style="528" hidden="1" customWidth="1"/>
    <col min="8" max="8" width="2.5" style="528" hidden="1" customWidth="1"/>
    <col min="9" max="9" width="2.6640625" style="528" hidden="1" customWidth="1"/>
    <col min="10" max="10" width="25" style="528" hidden="1" customWidth="1"/>
    <col min="11" max="11" width="27" style="528" hidden="1" customWidth="1"/>
    <col min="12" max="12" width="0.1640625" style="617" hidden="1" customWidth="1"/>
    <col min="13" max="14" width="29.83203125" style="617" hidden="1" customWidth="1"/>
    <col min="15" max="17" width="29.83203125" style="617" customWidth="1"/>
    <col min="18" max="18" width="17.83203125" style="528" customWidth="1"/>
    <col min="19" max="16384" width="9.33203125" style="528"/>
  </cols>
  <sheetData>
    <row r="1" spans="1:18" ht="19.5" customHeight="1">
      <c r="A1" s="613" t="s">
        <v>39</v>
      </c>
      <c r="B1" s="598" t="s">
        <v>1015</v>
      </c>
      <c r="C1" s="599"/>
      <c r="D1" s="599"/>
      <c r="E1" s="599"/>
      <c r="F1" s="599"/>
      <c r="G1" s="599"/>
      <c r="H1" s="599"/>
      <c r="I1" s="599"/>
      <c r="J1" s="599"/>
      <c r="K1" s="599"/>
      <c r="L1" s="614"/>
      <c r="M1" s="614"/>
      <c r="N1" s="614"/>
      <c r="O1" s="614"/>
      <c r="P1" s="614"/>
      <c r="Q1" s="614"/>
    </row>
    <row r="2" spans="1:18" ht="19.5" customHeight="1">
      <c r="A2" s="613" t="s">
        <v>25</v>
      </c>
      <c r="B2" s="599" t="s">
        <v>26</v>
      </c>
      <c r="C2" s="599" t="s">
        <v>38</v>
      </c>
      <c r="D2" s="600" t="s">
        <v>43</v>
      </c>
      <c r="E2" s="600" t="s">
        <v>46</v>
      </c>
      <c r="F2" s="600" t="s">
        <v>55</v>
      </c>
      <c r="G2" s="600" t="s">
        <v>62</v>
      </c>
      <c r="H2" s="600" t="s">
        <v>103</v>
      </c>
      <c r="I2" s="600" t="s">
        <v>107</v>
      </c>
      <c r="J2" s="600" t="s">
        <v>151</v>
      </c>
      <c r="K2" s="600" t="s">
        <v>257</v>
      </c>
      <c r="L2" s="600" t="s">
        <v>814</v>
      </c>
      <c r="M2" s="600" t="s">
        <v>874</v>
      </c>
      <c r="N2" s="600" t="s">
        <v>973</v>
      </c>
      <c r="O2" s="600" t="s">
        <v>1160</v>
      </c>
      <c r="P2" s="600" t="s">
        <v>1320</v>
      </c>
      <c r="Q2" s="600" t="s">
        <v>56</v>
      </c>
      <c r="R2" s="529"/>
    </row>
    <row r="3" spans="1:18" ht="19.5" customHeight="1">
      <c r="A3" s="602">
        <v>210</v>
      </c>
      <c r="B3" s="309" t="s">
        <v>137</v>
      </c>
      <c r="C3" s="277"/>
      <c r="D3" s="277"/>
      <c r="E3" s="277"/>
      <c r="F3" s="277"/>
      <c r="G3" s="277"/>
      <c r="H3" s="277"/>
      <c r="I3" s="277"/>
      <c r="J3" s="277"/>
      <c r="K3" s="277"/>
      <c r="L3" s="310"/>
      <c r="M3" s="310"/>
      <c r="N3" s="310"/>
      <c r="O3" s="310"/>
      <c r="P3" s="310"/>
      <c r="Q3" s="310"/>
    </row>
    <row r="4" spans="1:18" ht="19.5" customHeight="1">
      <c r="A4" s="602">
        <v>2110</v>
      </c>
      <c r="B4" s="309" t="s">
        <v>213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8" ht="19.5" customHeight="1">
      <c r="A5" s="393">
        <v>21101</v>
      </c>
      <c r="B5" s="277" t="s">
        <v>28</v>
      </c>
      <c r="C5" s="277"/>
      <c r="D5" s="277"/>
      <c r="E5" s="277"/>
      <c r="F5" s="277"/>
      <c r="G5" s="277"/>
      <c r="H5" s="277"/>
      <c r="I5" s="277"/>
      <c r="J5" s="277">
        <v>5555286000</v>
      </c>
      <c r="K5" s="277">
        <f>shaqaalaha2011!H37+72000000</f>
        <v>12171796800</v>
      </c>
      <c r="L5" s="277">
        <v>15930844800</v>
      </c>
      <c r="M5" s="277">
        <v>21856910400</v>
      </c>
      <c r="N5" s="277">
        <v>22242804480</v>
      </c>
      <c r="O5" s="277">
        <v>23398539840</v>
      </c>
      <c r="P5" s="892">
        <v>29817421920</v>
      </c>
      <c r="Q5" s="277">
        <f>P5-O5</f>
        <v>6418882080</v>
      </c>
    </row>
    <row r="6" spans="1:18" ht="19.5" customHeight="1">
      <c r="A6" s="393">
        <v>21102</v>
      </c>
      <c r="B6" s="277" t="s">
        <v>556</v>
      </c>
      <c r="C6" s="277"/>
      <c r="D6" s="277"/>
      <c r="E6" s="277"/>
      <c r="F6" s="277"/>
      <c r="G6" s="277"/>
      <c r="H6" s="277"/>
      <c r="I6" s="277"/>
      <c r="J6" s="277">
        <v>0</v>
      </c>
      <c r="K6" s="277">
        <v>0</v>
      </c>
      <c r="L6" s="277">
        <v>194400000</v>
      </c>
      <c r="M6" s="277">
        <v>194400000</v>
      </c>
      <c r="N6" s="277">
        <v>194400000</v>
      </c>
      <c r="O6" s="277">
        <v>194400000</v>
      </c>
      <c r="P6" s="892">
        <v>194400000</v>
      </c>
      <c r="Q6" s="277">
        <f t="shared" ref="Q6:Q66" si="0">P6-O6</f>
        <v>0</v>
      </c>
    </row>
    <row r="7" spans="1:18" ht="19.5" customHeight="1">
      <c r="A7" s="393">
        <v>21103</v>
      </c>
      <c r="B7" s="277" t="s">
        <v>30</v>
      </c>
      <c r="C7" s="277"/>
      <c r="D7" s="277"/>
      <c r="E7" s="277"/>
      <c r="F7" s="277"/>
      <c r="G7" s="277"/>
      <c r="H7" s="277"/>
      <c r="I7" s="277"/>
      <c r="J7" s="277">
        <v>86400000</v>
      </c>
      <c r="K7" s="277">
        <v>86400000</v>
      </c>
      <c r="L7" s="277">
        <v>223200000</v>
      </c>
      <c r="M7" s="277">
        <v>288000000</v>
      </c>
      <c r="N7" s="277">
        <v>288000000</v>
      </c>
      <c r="O7" s="277">
        <v>288000000</v>
      </c>
      <c r="P7" s="892">
        <v>288000000</v>
      </c>
      <c r="Q7" s="277">
        <f t="shared" si="0"/>
        <v>0</v>
      </c>
    </row>
    <row r="8" spans="1:18" ht="19.5" customHeight="1">
      <c r="A8" s="393">
        <v>21105</v>
      </c>
      <c r="B8" s="277" t="s">
        <v>850</v>
      </c>
      <c r="C8" s="277"/>
      <c r="D8" s="277"/>
      <c r="E8" s="277"/>
      <c r="F8" s="277"/>
      <c r="G8" s="277"/>
      <c r="H8" s="277"/>
      <c r="I8" s="277"/>
      <c r="J8" s="277"/>
      <c r="K8" s="277">
        <v>234000000</v>
      </c>
      <c r="L8" s="277">
        <v>981000000</v>
      </c>
      <c r="M8" s="277">
        <v>1371000000</v>
      </c>
      <c r="N8" s="277">
        <v>1371000000</v>
      </c>
      <c r="O8" s="276">
        <v>2520720000</v>
      </c>
      <c r="P8" s="893">
        <v>2689920000</v>
      </c>
      <c r="Q8" s="277">
        <f t="shared" si="0"/>
        <v>169200000</v>
      </c>
    </row>
    <row r="9" spans="1:18" ht="19.5" customHeight="1">
      <c r="A9" s="393"/>
      <c r="B9" s="309" t="s">
        <v>92</v>
      </c>
      <c r="C9" s="277"/>
      <c r="D9" s="277"/>
      <c r="E9" s="277"/>
      <c r="F9" s="277"/>
      <c r="G9" s="277"/>
      <c r="H9" s="277"/>
      <c r="I9" s="277"/>
      <c r="J9" s="309">
        <f>SUM(J5:J7)</f>
        <v>5641686000</v>
      </c>
      <c r="K9" s="309">
        <f>K8+K7+K6+K5</f>
        <v>12492196800</v>
      </c>
      <c r="L9" s="309">
        <f>SUM(L5:L8)</f>
        <v>17329444800</v>
      </c>
      <c r="M9" s="309">
        <f>SUM(M5:M8)</f>
        <v>23710310400</v>
      </c>
      <c r="N9" s="309">
        <f>SUM(N5:N8)</f>
        <v>24096204480</v>
      </c>
      <c r="O9" s="309">
        <f>SUM(O5:O8)</f>
        <v>26401659840</v>
      </c>
      <c r="P9" s="894">
        <f>SUM(P5:P8)</f>
        <v>32989741920</v>
      </c>
      <c r="Q9" s="309">
        <f t="shared" si="0"/>
        <v>6588082080</v>
      </c>
    </row>
    <row r="10" spans="1:18" ht="19.5" customHeight="1">
      <c r="A10" s="602">
        <v>220</v>
      </c>
      <c r="B10" s="309" t="s">
        <v>225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892"/>
      <c r="Q10" s="277">
        <f t="shared" si="0"/>
        <v>0</v>
      </c>
    </row>
    <row r="11" spans="1:18" ht="19.5" customHeight="1">
      <c r="A11" s="602">
        <v>2210</v>
      </c>
      <c r="B11" s="309" t="s">
        <v>226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892"/>
      <c r="Q11" s="277">
        <f t="shared" si="0"/>
        <v>0</v>
      </c>
    </row>
    <row r="12" spans="1:18" ht="19.5" customHeight="1">
      <c r="A12" s="393">
        <v>22101</v>
      </c>
      <c r="B12" s="277" t="s">
        <v>33</v>
      </c>
      <c r="C12" s="277"/>
      <c r="D12" s="277"/>
      <c r="E12" s="277"/>
      <c r="F12" s="277"/>
      <c r="G12" s="277"/>
      <c r="H12" s="277"/>
      <c r="I12" s="277"/>
      <c r="J12" s="277">
        <v>59584000</v>
      </c>
      <c r="K12" s="277">
        <f t="shared" ref="K12:P12" si="1">59584000*70%</f>
        <v>41708800</v>
      </c>
      <c r="L12" s="277">
        <f t="shared" si="1"/>
        <v>41708800</v>
      </c>
      <c r="M12" s="277">
        <f t="shared" si="1"/>
        <v>41708800</v>
      </c>
      <c r="N12" s="277">
        <f t="shared" si="1"/>
        <v>41708800</v>
      </c>
      <c r="O12" s="277">
        <f t="shared" si="1"/>
        <v>41708800</v>
      </c>
      <c r="P12" s="892">
        <f t="shared" si="1"/>
        <v>41708800</v>
      </c>
      <c r="Q12" s="277">
        <f t="shared" si="0"/>
        <v>0</v>
      </c>
    </row>
    <row r="13" spans="1:18" ht="19.5" customHeight="1">
      <c r="A13" s="393">
        <v>22104</v>
      </c>
      <c r="B13" s="277" t="s">
        <v>157</v>
      </c>
      <c r="C13" s="277"/>
      <c r="D13" s="277"/>
      <c r="E13" s="277"/>
      <c r="F13" s="277"/>
      <c r="G13" s="277"/>
      <c r="H13" s="277"/>
      <c r="I13" s="277"/>
      <c r="J13" s="277">
        <v>84578400</v>
      </c>
      <c r="K13" s="277">
        <v>59204880</v>
      </c>
      <c r="L13" s="277">
        <v>59204880</v>
      </c>
      <c r="M13" s="277">
        <v>59204880</v>
      </c>
      <c r="N13" s="277">
        <v>59204880</v>
      </c>
      <c r="O13" s="277">
        <v>59204880</v>
      </c>
      <c r="P13" s="892">
        <v>59204880</v>
      </c>
      <c r="Q13" s="277">
        <f t="shared" si="0"/>
        <v>0</v>
      </c>
    </row>
    <row r="14" spans="1:18" ht="19.5" customHeight="1">
      <c r="A14" s="393">
        <v>22106</v>
      </c>
      <c r="B14" s="277" t="s">
        <v>126</v>
      </c>
      <c r="C14" s="277"/>
      <c r="D14" s="277"/>
      <c r="E14" s="277"/>
      <c r="F14" s="277"/>
      <c r="G14" s="277"/>
      <c r="H14" s="277"/>
      <c r="I14" s="277"/>
      <c r="J14" s="277">
        <v>226824000</v>
      </c>
      <c r="K14" s="277">
        <f>226824000*70%</f>
        <v>158776800</v>
      </c>
      <c r="L14" s="277">
        <v>150000000</v>
      </c>
      <c r="M14" s="277">
        <v>90000000</v>
      </c>
      <c r="N14" s="277">
        <v>90000000</v>
      </c>
      <c r="O14" s="277">
        <v>90000000</v>
      </c>
      <c r="P14" s="892">
        <v>90000000</v>
      </c>
      <c r="Q14" s="277">
        <f t="shared" si="0"/>
        <v>0</v>
      </c>
      <c r="R14" s="552"/>
    </row>
    <row r="15" spans="1:18" ht="19.5" customHeight="1">
      <c r="A15" s="393">
        <v>22107</v>
      </c>
      <c r="B15" s="277" t="s">
        <v>48</v>
      </c>
      <c r="C15" s="277"/>
      <c r="D15" s="277"/>
      <c r="E15" s="277"/>
      <c r="F15" s="277"/>
      <c r="G15" s="277"/>
      <c r="H15" s="277"/>
      <c r="I15" s="277"/>
      <c r="J15" s="277">
        <v>17448000</v>
      </c>
      <c r="K15" s="277">
        <v>12213600</v>
      </c>
      <c r="L15" s="277">
        <v>8549520</v>
      </c>
      <c r="M15" s="277">
        <f>L15</f>
        <v>8549520</v>
      </c>
      <c r="N15" s="277">
        <v>50000000</v>
      </c>
      <c r="O15" s="277">
        <v>50000000</v>
      </c>
      <c r="P15" s="892">
        <v>50000000</v>
      </c>
      <c r="Q15" s="277">
        <f t="shared" si="0"/>
        <v>0</v>
      </c>
      <c r="R15" s="552"/>
    </row>
    <row r="16" spans="1:18" ht="19.5" customHeight="1">
      <c r="A16" s="393">
        <v>22109</v>
      </c>
      <c r="B16" s="277" t="s">
        <v>136</v>
      </c>
      <c r="C16" s="603"/>
      <c r="D16" s="310"/>
      <c r="E16" s="310"/>
      <c r="F16" s="310"/>
      <c r="G16" s="310"/>
      <c r="H16" s="310"/>
      <c r="I16" s="310"/>
      <c r="J16" s="277">
        <v>9310000</v>
      </c>
      <c r="K16" s="277">
        <f t="shared" ref="K16:P16" si="2">9310000*70%</f>
        <v>6517000</v>
      </c>
      <c r="L16" s="277">
        <f t="shared" si="2"/>
        <v>6517000</v>
      </c>
      <c r="M16" s="277">
        <f t="shared" si="2"/>
        <v>6517000</v>
      </c>
      <c r="N16" s="277">
        <f t="shared" si="2"/>
        <v>6517000</v>
      </c>
      <c r="O16" s="277">
        <f t="shared" si="2"/>
        <v>6517000</v>
      </c>
      <c r="P16" s="892">
        <f t="shared" si="2"/>
        <v>6517000</v>
      </c>
      <c r="Q16" s="277">
        <f t="shared" si="0"/>
        <v>0</v>
      </c>
    </row>
    <row r="17" spans="1:17" ht="19.5" customHeight="1">
      <c r="A17" s="393">
        <v>22112</v>
      </c>
      <c r="B17" s="277" t="s">
        <v>35</v>
      </c>
      <c r="C17" s="277"/>
      <c r="D17" s="310"/>
      <c r="E17" s="310"/>
      <c r="F17" s="310"/>
      <c r="G17" s="310"/>
      <c r="H17" s="310"/>
      <c r="I17" s="310"/>
      <c r="J17" s="310">
        <v>103947440</v>
      </c>
      <c r="K17" s="310">
        <v>72763208</v>
      </c>
      <c r="L17" s="310">
        <v>72763208</v>
      </c>
      <c r="M17" s="310">
        <v>72763208</v>
      </c>
      <c r="N17" s="310">
        <v>72763208</v>
      </c>
      <c r="O17" s="310">
        <v>72763208</v>
      </c>
      <c r="P17" s="842">
        <v>72763208</v>
      </c>
      <c r="Q17" s="277">
        <f t="shared" si="0"/>
        <v>0</v>
      </c>
    </row>
    <row r="18" spans="1:17" ht="19.5" customHeight="1">
      <c r="A18" s="393">
        <v>22112</v>
      </c>
      <c r="B18" s="277" t="s">
        <v>1352</v>
      </c>
      <c r="C18" s="277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>
        <v>0</v>
      </c>
      <c r="P18" s="842">
        <v>90000000</v>
      </c>
      <c r="Q18" s="277">
        <f t="shared" si="0"/>
        <v>90000000</v>
      </c>
    </row>
    <row r="19" spans="1:17" ht="19.5" customHeight="1">
      <c r="A19" s="393">
        <v>22125</v>
      </c>
      <c r="B19" s="277" t="s">
        <v>1355</v>
      </c>
      <c r="C19" s="277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842">
        <v>300000000</v>
      </c>
      <c r="Q19" s="277"/>
    </row>
    <row r="20" spans="1:17" ht="19.5" customHeight="1">
      <c r="A20" s="393">
        <v>22134</v>
      </c>
      <c r="B20" s="277" t="s">
        <v>1278</v>
      </c>
      <c r="C20" s="277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>
        <v>0</v>
      </c>
      <c r="O20" s="310">
        <v>300000000</v>
      </c>
      <c r="P20" s="842">
        <v>300000000</v>
      </c>
      <c r="Q20" s="277">
        <f t="shared" si="0"/>
        <v>0</v>
      </c>
    </row>
    <row r="21" spans="1:17" ht="19.5" customHeight="1">
      <c r="A21" s="393">
        <v>22136</v>
      </c>
      <c r="B21" s="277" t="s">
        <v>1354</v>
      </c>
      <c r="C21" s="277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842">
        <v>200000000</v>
      </c>
      <c r="Q21" s="277">
        <f t="shared" si="0"/>
        <v>200000000</v>
      </c>
    </row>
    <row r="22" spans="1:17" ht="19.5" customHeight="1">
      <c r="A22" s="393">
        <v>22137</v>
      </c>
      <c r="B22" s="277" t="s">
        <v>1353</v>
      </c>
      <c r="C22" s="277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842">
        <v>100000000</v>
      </c>
      <c r="Q22" s="277">
        <f t="shared" si="0"/>
        <v>100000000</v>
      </c>
    </row>
    <row r="23" spans="1:17" ht="19.5" customHeight="1">
      <c r="A23" s="393">
        <v>22145</v>
      </c>
      <c r="B23" s="277" t="s">
        <v>486</v>
      </c>
      <c r="C23" s="277"/>
      <c r="D23" s="310"/>
      <c r="E23" s="310"/>
      <c r="F23" s="310"/>
      <c r="G23" s="310"/>
      <c r="H23" s="310"/>
      <c r="I23" s="310"/>
      <c r="J23" s="310"/>
      <c r="K23" s="310"/>
      <c r="L23" s="310">
        <v>3120600000</v>
      </c>
      <c r="M23" s="310">
        <v>3840600000</v>
      </c>
      <c r="N23" s="310">
        <v>3840600000</v>
      </c>
      <c r="O23" s="310">
        <v>4200600000</v>
      </c>
      <c r="P23" s="842">
        <v>6277400000</v>
      </c>
      <c r="Q23" s="277">
        <f t="shared" si="0"/>
        <v>2076800000</v>
      </c>
    </row>
    <row r="24" spans="1:17" ht="19.5" customHeight="1">
      <c r="A24" s="393">
        <v>22192</v>
      </c>
      <c r="B24" s="277" t="s">
        <v>1279</v>
      </c>
      <c r="C24" s="277"/>
      <c r="D24" s="310"/>
      <c r="E24" s="310"/>
      <c r="F24" s="310"/>
      <c r="G24" s="310"/>
      <c r="H24" s="310"/>
      <c r="I24" s="310"/>
      <c r="J24" s="310">
        <v>0</v>
      </c>
      <c r="K24" s="310">
        <f>1000000000*70%</f>
        <v>700000000</v>
      </c>
      <c r="L24" s="310">
        <v>590000000</v>
      </c>
      <c r="M24" s="310">
        <v>590000000</v>
      </c>
      <c r="N24" s="310">
        <v>590000000</v>
      </c>
      <c r="O24" s="310">
        <v>590000000</v>
      </c>
      <c r="P24" s="842">
        <v>1290000000</v>
      </c>
      <c r="Q24" s="277">
        <f t="shared" si="0"/>
        <v>700000000</v>
      </c>
    </row>
    <row r="25" spans="1:17" ht="19.5" customHeight="1">
      <c r="A25" s="393">
        <v>22192</v>
      </c>
      <c r="B25" s="277" t="s">
        <v>1280</v>
      </c>
      <c r="C25" s="277"/>
      <c r="D25" s="310"/>
      <c r="E25" s="310"/>
      <c r="F25" s="310"/>
      <c r="G25" s="310"/>
      <c r="H25" s="310"/>
      <c r="I25" s="310"/>
      <c r="J25" s="310"/>
      <c r="K25" s="310"/>
      <c r="L25" s="310">
        <v>134000000</v>
      </c>
      <c r="M25" s="310">
        <v>134000000</v>
      </c>
      <c r="N25" s="310">
        <v>134000000</v>
      </c>
      <c r="O25" s="310">
        <v>134000000</v>
      </c>
      <c r="P25" s="842">
        <v>134000000</v>
      </c>
      <c r="Q25" s="277">
        <f t="shared" si="0"/>
        <v>0</v>
      </c>
    </row>
    <row r="26" spans="1:17" ht="19.5" customHeight="1">
      <c r="A26" s="393">
        <v>22192</v>
      </c>
      <c r="B26" s="277" t="s">
        <v>1356</v>
      </c>
      <c r="C26" s="277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842">
        <v>2400000000</v>
      </c>
      <c r="Q26" s="277">
        <f t="shared" si="0"/>
        <v>2400000000</v>
      </c>
    </row>
    <row r="27" spans="1:17" ht="19.5" customHeight="1">
      <c r="A27" s="393">
        <v>22192</v>
      </c>
      <c r="B27" s="277" t="s">
        <v>1281</v>
      </c>
      <c r="C27" s="603"/>
      <c r="D27" s="603"/>
      <c r="E27" s="603"/>
      <c r="F27" s="603"/>
      <c r="G27" s="603"/>
      <c r="H27" s="603"/>
      <c r="I27" s="603"/>
      <c r="J27" s="299"/>
      <c r="K27" s="299"/>
      <c r="L27" s="299"/>
      <c r="M27" s="299">
        <v>100000000</v>
      </c>
      <c r="N27" s="299">
        <v>100000000</v>
      </c>
      <c r="O27" s="299">
        <v>100000000</v>
      </c>
      <c r="P27" s="895">
        <v>100000000</v>
      </c>
      <c r="Q27" s="277">
        <f t="shared" si="0"/>
        <v>0</v>
      </c>
    </row>
    <row r="28" spans="1:17" ht="19.5" customHeight="1">
      <c r="A28" s="393"/>
      <c r="B28" s="309" t="s">
        <v>92</v>
      </c>
      <c r="C28" s="277"/>
      <c r="D28" s="310"/>
      <c r="E28" s="310"/>
      <c r="F28" s="310"/>
      <c r="G28" s="310"/>
      <c r="H28" s="310"/>
      <c r="I28" s="310"/>
      <c r="J28" s="311">
        <f>SUM(J12:J24)</f>
        <v>501691840</v>
      </c>
      <c r="K28" s="311">
        <f>SUM(K12:K24)</f>
        <v>1051184288</v>
      </c>
      <c r="L28" s="311">
        <f>SUM(L12:L25)</f>
        <v>4183343408</v>
      </c>
      <c r="M28" s="311">
        <f>SUM(M12:M25)</f>
        <v>4843343408</v>
      </c>
      <c r="N28" s="311">
        <f>SUM(N12:N27)</f>
        <v>4984793888</v>
      </c>
      <c r="O28" s="311">
        <f>SUM(O12:O27)</f>
        <v>5644793888</v>
      </c>
      <c r="P28" s="896">
        <f>SUM(P12:P27)</f>
        <v>11511593888</v>
      </c>
      <c r="Q28" s="309">
        <f t="shared" si="0"/>
        <v>5866800000</v>
      </c>
    </row>
    <row r="29" spans="1:17" ht="19.5" customHeight="1">
      <c r="A29" s="602">
        <v>2220</v>
      </c>
      <c r="B29" s="309" t="s">
        <v>240</v>
      </c>
      <c r="C29" s="277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842"/>
      <c r="Q29" s="277">
        <f t="shared" si="0"/>
        <v>0</v>
      </c>
    </row>
    <row r="30" spans="1:17" ht="19.5" customHeight="1">
      <c r="A30" s="393">
        <v>22201</v>
      </c>
      <c r="B30" s="277" t="s">
        <v>171</v>
      </c>
      <c r="C30" s="277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>
        <v>70000000</v>
      </c>
      <c r="O30" s="310">
        <v>70000000</v>
      </c>
      <c r="P30" s="842">
        <v>70000000</v>
      </c>
      <c r="Q30" s="277">
        <f t="shared" si="0"/>
        <v>0</v>
      </c>
    </row>
    <row r="31" spans="1:17" ht="19.5" customHeight="1">
      <c r="A31" s="393">
        <v>22202</v>
      </c>
      <c r="B31" s="277" t="s">
        <v>133</v>
      </c>
      <c r="C31" s="603"/>
      <c r="D31" s="603"/>
      <c r="E31" s="603"/>
      <c r="F31" s="603"/>
      <c r="G31" s="603"/>
      <c r="H31" s="603"/>
      <c r="I31" s="603"/>
      <c r="J31" s="299">
        <v>640000000</v>
      </c>
      <c r="K31" s="299">
        <v>448000000</v>
      </c>
      <c r="L31" s="299">
        <v>358400000</v>
      </c>
      <c r="M31" s="299">
        <v>408400000</v>
      </c>
      <c r="N31" s="299">
        <v>458400000</v>
      </c>
      <c r="O31" s="299">
        <v>458400000</v>
      </c>
      <c r="P31" s="895">
        <v>458400000</v>
      </c>
      <c r="Q31" s="277">
        <f t="shared" si="0"/>
        <v>0</v>
      </c>
    </row>
    <row r="32" spans="1:17" ht="19.5" customHeight="1">
      <c r="A32" s="393">
        <v>22203</v>
      </c>
      <c r="B32" s="277" t="s">
        <v>127</v>
      </c>
      <c r="C32" s="277"/>
      <c r="D32" s="277"/>
      <c r="E32" s="277"/>
      <c r="F32" s="277"/>
      <c r="G32" s="277"/>
      <c r="H32" s="277"/>
      <c r="I32" s="277"/>
      <c r="J32" s="276">
        <v>44688000</v>
      </c>
      <c r="K32" s="276">
        <v>31281600</v>
      </c>
      <c r="L32" s="276">
        <v>31281600</v>
      </c>
      <c r="M32" s="276">
        <v>31281600</v>
      </c>
      <c r="N32" s="276">
        <v>31281600</v>
      </c>
      <c r="O32" s="276">
        <v>31281600</v>
      </c>
      <c r="P32" s="893">
        <v>100000000</v>
      </c>
      <c r="Q32" s="277">
        <f t="shared" si="0"/>
        <v>68718400</v>
      </c>
    </row>
    <row r="33" spans="1:17" ht="19.5" customHeight="1">
      <c r="A33" s="393">
        <v>22204</v>
      </c>
      <c r="B33" s="277" t="s">
        <v>128</v>
      </c>
      <c r="C33" s="277"/>
      <c r="D33" s="277"/>
      <c r="E33" s="277"/>
      <c r="F33" s="277"/>
      <c r="G33" s="277"/>
      <c r="H33" s="277"/>
      <c r="I33" s="277"/>
      <c r="J33" s="276">
        <v>13406400</v>
      </c>
      <c r="K33" s="276">
        <f t="shared" ref="K33:P33" si="3">13406400*70%</f>
        <v>9384480</v>
      </c>
      <c r="L33" s="276">
        <f t="shared" si="3"/>
        <v>9384480</v>
      </c>
      <c r="M33" s="276">
        <f t="shared" si="3"/>
        <v>9384480</v>
      </c>
      <c r="N33" s="276">
        <f t="shared" si="3"/>
        <v>9384480</v>
      </c>
      <c r="O33" s="276">
        <f t="shared" si="3"/>
        <v>9384480</v>
      </c>
      <c r="P33" s="893">
        <f t="shared" si="3"/>
        <v>9384480</v>
      </c>
      <c r="Q33" s="277">
        <f t="shared" si="0"/>
        <v>0</v>
      </c>
    </row>
    <row r="34" spans="1:17" ht="19.5" customHeight="1">
      <c r="A34" s="393">
        <v>22208</v>
      </c>
      <c r="B34" s="277" t="s">
        <v>338</v>
      </c>
      <c r="C34" s="277"/>
      <c r="D34" s="277"/>
      <c r="E34" s="277"/>
      <c r="F34" s="277"/>
      <c r="G34" s="277"/>
      <c r="H34" s="277"/>
      <c r="I34" s="277"/>
      <c r="J34" s="276">
        <v>400000000</v>
      </c>
      <c r="K34" s="276">
        <f>400000000/3500*6000</f>
        <v>685714285.71428573</v>
      </c>
      <c r="L34" s="276">
        <f>400000000/3500*6000</f>
        <v>685714285.71428573</v>
      </c>
      <c r="M34" s="276">
        <f>400000000/3500*6000</f>
        <v>685714285.71428573</v>
      </c>
      <c r="N34" s="276">
        <v>785714286</v>
      </c>
      <c r="O34" s="276">
        <v>885714286</v>
      </c>
      <c r="P34" s="893">
        <v>885714286</v>
      </c>
      <c r="Q34" s="277">
        <f t="shared" si="0"/>
        <v>0</v>
      </c>
    </row>
    <row r="35" spans="1:17" ht="19.5" customHeight="1">
      <c r="A35" s="393">
        <v>22216</v>
      </c>
      <c r="B35" s="277" t="s">
        <v>269</v>
      </c>
      <c r="C35" s="277"/>
      <c r="D35" s="277"/>
      <c r="E35" s="277"/>
      <c r="F35" s="277"/>
      <c r="G35" s="277"/>
      <c r="H35" s="277"/>
      <c r="I35" s="277"/>
      <c r="J35" s="276">
        <v>645983520</v>
      </c>
      <c r="K35" s="276">
        <f>645983520*70%</f>
        <v>452188464</v>
      </c>
      <c r="L35" s="276">
        <v>352188464</v>
      </c>
      <c r="M35" s="276">
        <v>352188464</v>
      </c>
      <c r="N35" s="276">
        <v>400000000</v>
      </c>
      <c r="O35" s="276">
        <v>400000000</v>
      </c>
      <c r="P35" s="893">
        <v>400000000</v>
      </c>
      <c r="Q35" s="277">
        <f t="shared" si="0"/>
        <v>0</v>
      </c>
    </row>
    <row r="36" spans="1:17" ht="19.5" customHeight="1">
      <c r="A36" s="393"/>
      <c r="B36" s="309" t="s">
        <v>92</v>
      </c>
      <c r="C36" s="277"/>
      <c r="D36" s="277"/>
      <c r="E36" s="277"/>
      <c r="F36" s="277"/>
      <c r="G36" s="277"/>
      <c r="H36" s="277"/>
      <c r="I36" s="277"/>
      <c r="J36" s="278">
        <f>SUM(J31:J35)</f>
        <v>1744077920</v>
      </c>
      <c r="K36" s="278">
        <f>SUM(K31:K35)</f>
        <v>1626568829.7142859</v>
      </c>
      <c r="L36" s="278">
        <f>SUM(L31:L35)</f>
        <v>1436968829.7142859</v>
      </c>
      <c r="M36" s="278">
        <f>SUM(M31:M35)</f>
        <v>1486968829.7142859</v>
      </c>
      <c r="N36" s="278">
        <f>SUM(N30:N35)</f>
        <v>1754780366</v>
      </c>
      <c r="O36" s="278">
        <f>SUM(O30:O35)</f>
        <v>1854780366</v>
      </c>
      <c r="P36" s="897">
        <f>SUM(P30:P35)</f>
        <v>1923498766</v>
      </c>
      <c r="Q36" s="309">
        <f t="shared" si="0"/>
        <v>68718400</v>
      </c>
    </row>
    <row r="37" spans="1:17" s="615" customFormat="1" ht="19.5" customHeight="1">
      <c r="A37" s="602">
        <v>2230</v>
      </c>
      <c r="B37" s="309" t="s">
        <v>130</v>
      </c>
      <c r="C37" s="311"/>
      <c r="D37" s="311"/>
      <c r="E37" s="311"/>
      <c r="F37" s="311"/>
      <c r="G37" s="311"/>
      <c r="H37" s="311"/>
      <c r="I37" s="311"/>
      <c r="J37" s="300"/>
      <c r="K37" s="300"/>
      <c r="L37" s="300"/>
      <c r="M37" s="300"/>
      <c r="N37" s="300"/>
      <c r="O37" s="300"/>
      <c r="P37" s="898"/>
      <c r="Q37" s="277">
        <f t="shared" si="0"/>
        <v>0</v>
      </c>
    </row>
    <row r="38" spans="1:17" ht="19.5" customHeight="1">
      <c r="A38" s="393">
        <v>22301</v>
      </c>
      <c r="B38" s="277" t="s">
        <v>49</v>
      </c>
      <c r="C38" s="277"/>
      <c r="D38" s="277"/>
      <c r="E38" s="277"/>
      <c r="F38" s="277"/>
      <c r="G38" s="277"/>
      <c r="H38" s="277"/>
      <c r="I38" s="277"/>
      <c r="J38" s="276">
        <v>97667200</v>
      </c>
      <c r="K38" s="276">
        <v>68367040</v>
      </c>
      <c r="L38" s="276">
        <v>68367040</v>
      </c>
      <c r="M38" s="276">
        <v>68367040</v>
      </c>
      <c r="N38" s="276">
        <v>108367040</v>
      </c>
      <c r="O38" s="276">
        <v>108367040</v>
      </c>
      <c r="P38" s="893">
        <v>158367040</v>
      </c>
      <c r="Q38" s="277">
        <f t="shared" si="0"/>
        <v>50000000</v>
      </c>
    </row>
    <row r="39" spans="1:17" ht="19.5" customHeight="1">
      <c r="A39" s="393">
        <v>22302</v>
      </c>
      <c r="B39" s="277" t="s">
        <v>249</v>
      </c>
      <c r="C39" s="277"/>
      <c r="D39" s="277"/>
      <c r="E39" s="277"/>
      <c r="F39" s="277"/>
      <c r="G39" s="277"/>
      <c r="H39" s="277"/>
      <c r="I39" s="277"/>
      <c r="J39" s="276">
        <v>4468800</v>
      </c>
      <c r="K39" s="276">
        <f t="shared" ref="K39:P39" si="4">4468800*70%</f>
        <v>3128160</v>
      </c>
      <c r="L39" s="276">
        <f t="shared" si="4"/>
        <v>3128160</v>
      </c>
      <c r="M39" s="276">
        <f t="shared" si="4"/>
        <v>3128160</v>
      </c>
      <c r="N39" s="276">
        <f t="shared" si="4"/>
        <v>3128160</v>
      </c>
      <c r="O39" s="276">
        <f t="shared" si="4"/>
        <v>3128160</v>
      </c>
      <c r="P39" s="893">
        <f t="shared" si="4"/>
        <v>3128160</v>
      </c>
      <c r="Q39" s="277">
        <f t="shared" si="0"/>
        <v>0</v>
      </c>
    </row>
    <row r="40" spans="1:17" ht="19.5" customHeight="1">
      <c r="A40" s="393">
        <v>22308</v>
      </c>
      <c r="B40" s="277" t="s">
        <v>339</v>
      </c>
      <c r="C40" s="277"/>
      <c r="D40" s="277"/>
      <c r="E40" s="277"/>
      <c r="F40" s="277"/>
      <c r="G40" s="277"/>
      <c r="H40" s="277"/>
      <c r="I40" s="277"/>
      <c r="J40" s="276">
        <v>100000000</v>
      </c>
      <c r="K40" s="276">
        <f>366000000*70%</f>
        <v>256199999.99999997</v>
      </c>
      <c r="L40" s="276">
        <v>156200000</v>
      </c>
      <c r="M40" s="276">
        <v>156200000</v>
      </c>
      <c r="N40" s="276">
        <v>156200000</v>
      </c>
      <c r="O40" s="276">
        <v>156200000</v>
      </c>
      <c r="P40" s="893">
        <v>156200000</v>
      </c>
      <c r="Q40" s="277">
        <f t="shared" si="0"/>
        <v>0</v>
      </c>
    </row>
    <row r="41" spans="1:17" ht="19.5" customHeight="1">
      <c r="A41" s="393"/>
      <c r="B41" s="309" t="s">
        <v>92</v>
      </c>
      <c r="C41" s="277"/>
      <c r="D41" s="277"/>
      <c r="E41" s="277"/>
      <c r="F41" s="277"/>
      <c r="G41" s="277"/>
      <c r="H41" s="277"/>
      <c r="I41" s="277"/>
      <c r="J41" s="278">
        <f t="shared" ref="J41:M41" si="5">SUM(J38:J40)</f>
        <v>202136000</v>
      </c>
      <c r="K41" s="278">
        <f t="shared" si="5"/>
        <v>327695200</v>
      </c>
      <c r="L41" s="278">
        <f t="shared" si="5"/>
        <v>227695200</v>
      </c>
      <c r="M41" s="278">
        <f t="shared" si="5"/>
        <v>227695200</v>
      </c>
      <c r="N41" s="278">
        <f>SUM(N38:N40)</f>
        <v>267695200</v>
      </c>
      <c r="O41" s="278">
        <f>SUM(O38:O40)</f>
        <v>267695200</v>
      </c>
      <c r="P41" s="897">
        <f>SUM(P38:P40)</f>
        <v>317695200</v>
      </c>
      <c r="Q41" s="309">
        <f t="shared" si="0"/>
        <v>50000000</v>
      </c>
    </row>
    <row r="42" spans="1:17" ht="19.5" customHeight="1">
      <c r="A42" s="602">
        <v>270</v>
      </c>
      <c r="B42" s="309" t="s">
        <v>253</v>
      </c>
      <c r="C42" s="277"/>
      <c r="D42" s="277"/>
      <c r="E42" s="277"/>
      <c r="F42" s="277"/>
      <c r="G42" s="277"/>
      <c r="H42" s="277"/>
      <c r="I42" s="277"/>
      <c r="J42" s="276"/>
      <c r="K42" s="276"/>
      <c r="L42" s="276"/>
      <c r="M42" s="276"/>
      <c r="N42" s="276"/>
      <c r="O42" s="276"/>
      <c r="P42" s="893"/>
      <c r="Q42" s="277">
        <f t="shared" si="0"/>
        <v>0</v>
      </c>
    </row>
    <row r="43" spans="1:17" ht="19.5" customHeight="1">
      <c r="A43" s="602">
        <v>2710</v>
      </c>
      <c r="B43" s="309" t="s">
        <v>252</v>
      </c>
      <c r="C43" s="277"/>
      <c r="D43" s="277"/>
      <c r="E43" s="277"/>
      <c r="F43" s="277"/>
      <c r="G43" s="277"/>
      <c r="H43" s="277"/>
      <c r="I43" s="277"/>
      <c r="J43" s="278"/>
      <c r="K43" s="278"/>
      <c r="L43" s="278"/>
      <c r="M43" s="278"/>
      <c r="N43" s="278"/>
      <c r="O43" s="278"/>
      <c r="P43" s="897"/>
      <c r="Q43" s="277">
        <f t="shared" si="0"/>
        <v>0</v>
      </c>
    </row>
    <row r="44" spans="1:17" ht="19.5" customHeight="1">
      <c r="A44" s="393">
        <v>27402</v>
      </c>
      <c r="B44" s="277" t="s">
        <v>985</v>
      </c>
      <c r="C44" s="310" t="s">
        <v>4</v>
      </c>
      <c r="D44" s="277"/>
      <c r="E44" s="277"/>
      <c r="F44" s="277"/>
      <c r="G44" s="277"/>
      <c r="H44" s="277"/>
      <c r="I44" s="277"/>
      <c r="J44" s="276">
        <v>0</v>
      </c>
      <c r="K44" s="276">
        <v>525000000</v>
      </c>
      <c r="L44" s="276">
        <v>0</v>
      </c>
      <c r="M44" s="276">
        <v>150000000</v>
      </c>
      <c r="N44" s="276">
        <v>0</v>
      </c>
      <c r="O44" s="276">
        <v>300000000</v>
      </c>
      <c r="P44" s="893">
        <v>300000000</v>
      </c>
      <c r="Q44" s="277">
        <f t="shared" si="0"/>
        <v>0</v>
      </c>
    </row>
    <row r="45" spans="1:17" ht="19.5" customHeight="1">
      <c r="A45" s="393">
        <v>27502</v>
      </c>
      <c r="B45" s="277" t="s">
        <v>148</v>
      </c>
      <c r="C45" s="603"/>
      <c r="D45" s="603"/>
      <c r="E45" s="603"/>
      <c r="F45" s="603"/>
      <c r="G45" s="603"/>
      <c r="H45" s="603"/>
      <c r="I45" s="603"/>
      <c r="J45" s="299">
        <v>5213600</v>
      </c>
      <c r="K45" s="299">
        <f>5213600*70%</f>
        <v>3649520</v>
      </c>
      <c r="L45" s="299">
        <v>0</v>
      </c>
      <c r="M45" s="299">
        <v>0</v>
      </c>
      <c r="N45" s="299">
        <v>0</v>
      </c>
      <c r="O45" s="299">
        <v>0</v>
      </c>
      <c r="P45" s="895">
        <v>0</v>
      </c>
      <c r="Q45" s="277">
        <f t="shared" si="0"/>
        <v>0</v>
      </c>
    </row>
    <row r="46" spans="1:17" ht="19.5" customHeight="1">
      <c r="A46" s="393">
        <v>27602</v>
      </c>
      <c r="B46" s="277" t="s">
        <v>1072</v>
      </c>
      <c r="C46" s="603"/>
      <c r="D46" s="603"/>
      <c r="E46" s="603"/>
      <c r="F46" s="603"/>
      <c r="G46" s="603"/>
      <c r="H46" s="603"/>
      <c r="I46" s="603"/>
      <c r="J46" s="299"/>
      <c r="K46" s="299">
        <v>0</v>
      </c>
      <c r="L46" s="299">
        <v>120000000</v>
      </c>
      <c r="M46" s="299">
        <v>120000000</v>
      </c>
      <c r="N46" s="299">
        <v>1020000000</v>
      </c>
      <c r="O46" s="299">
        <f>N46</f>
        <v>1020000000</v>
      </c>
      <c r="P46" s="895">
        <f>O46</f>
        <v>1020000000</v>
      </c>
      <c r="Q46" s="277">
        <f t="shared" si="0"/>
        <v>0</v>
      </c>
    </row>
    <row r="47" spans="1:17" ht="19.5" customHeight="1">
      <c r="A47" s="393">
        <v>27608</v>
      </c>
      <c r="B47" s="277" t="s">
        <v>1299</v>
      </c>
      <c r="C47" s="603"/>
      <c r="D47" s="603"/>
      <c r="E47" s="603"/>
      <c r="F47" s="603"/>
      <c r="G47" s="603"/>
      <c r="H47" s="603"/>
      <c r="I47" s="603"/>
      <c r="J47" s="299"/>
      <c r="K47" s="299"/>
      <c r="L47" s="299"/>
      <c r="M47" s="299"/>
      <c r="N47" s="299">
        <v>0</v>
      </c>
      <c r="O47" s="299">
        <v>240000000</v>
      </c>
      <c r="P47" s="895">
        <v>240000000</v>
      </c>
      <c r="Q47" s="277">
        <f t="shared" si="0"/>
        <v>0</v>
      </c>
    </row>
    <row r="48" spans="1:17" ht="19.5" customHeight="1">
      <c r="A48" s="393">
        <v>27608</v>
      </c>
      <c r="B48" s="277" t="s">
        <v>1381</v>
      </c>
      <c r="C48" s="603"/>
      <c r="D48" s="603"/>
      <c r="E48" s="603"/>
      <c r="F48" s="603"/>
      <c r="G48" s="603"/>
      <c r="H48" s="603"/>
      <c r="I48" s="603"/>
      <c r="J48" s="299"/>
      <c r="K48" s="299"/>
      <c r="L48" s="299"/>
      <c r="M48" s="299"/>
      <c r="N48" s="299"/>
      <c r="O48" s="299"/>
      <c r="P48" s="895">
        <v>2000000000</v>
      </c>
      <c r="Q48" s="277">
        <f t="shared" si="0"/>
        <v>2000000000</v>
      </c>
    </row>
    <row r="49" spans="1:17" ht="19.5" customHeight="1">
      <c r="A49" s="393">
        <v>27608</v>
      </c>
      <c r="B49" s="277" t="s">
        <v>1389</v>
      </c>
      <c r="C49" s="603"/>
      <c r="D49" s="603"/>
      <c r="E49" s="603"/>
      <c r="F49" s="603"/>
      <c r="G49" s="603"/>
      <c r="H49" s="603"/>
      <c r="I49" s="603"/>
      <c r="J49" s="299"/>
      <c r="K49" s="299"/>
      <c r="L49" s="299"/>
      <c r="M49" s="299"/>
      <c r="N49" s="299"/>
      <c r="O49" s="299"/>
      <c r="P49" s="895">
        <v>1000000000</v>
      </c>
      <c r="Q49" s="277">
        <f t="shared" si="0"/>
        <v>1000000000</v>
      </c>
    </row>
    <row r="50" spans="1:17" ht="19.5" customHeight="1">
      <c r="A50" s="393">
        <v>27608</v>
      </c>
      <c r="B50" s="277" t="s">
        <v>1406</v>
      </c>
      <c r="C50" s="603"/>
      <c r="D50" s="603"/>
      <c r="E50" s="603"/>
      <c r="F50" s="603"/>
      <c r="G50" s="603"/>
      <c r="H50" s="603"/>
      <c r="I50" s="603"/>
      <c r="J50" s="299"/>
      <c r="K50" s="299"/>
      <c r="L50" s="299"/>
      <c r="M50" s="299"/>
      <c r="N50" s="299"/>
      <c r="O50" s="299"/>
      <c r="P50" s="895">
        <v>4800000000</v>
      </c>
      <c r="Q50" s="277">
        <f t="shared" si="0"/>
        <v>4800000000</v>
      </c>
    </row>
    <row r="51" spans="1:17" ht="19.5" customHeight="1">
      <c r="A51" s="393"/>
      <c r="B51" s="309" t="s">
        <v>92</v>
      </c>
      <c r="C51" s="603"/>
      <c r="D51" s="603"/>
      <c r="E51" s="603"/>
      <c r="F51" s="603"/>
      <c r="G51" s="603"/>
      <c r="H51" s="603"/>
      <c r="I51" s="603"/>
      <c r="J51" s="300">
        <f>SUM(J44:J45)</f>
        <v>5213600</v>
      </c>
      <c r="K51" s="300">
        <f>SUM(K44:K45)</f>
        <v>528649520</v>
      </c>
      <c r="L51" s="300">
        <f>SUM(L44:L46)</f>
        <v>120000000</v>
      </c>
      <c r="M51" s="300">
        <f>SUM(M44:M46)</f>
        <v>270000000</v>
      </c>
      <c r="N51" s="300">
        <f>SUM(N44:N47)</f>
        <v>1020000000</v>
      </c>
      <c r="O51" s="300">
        <f>SUM(O44:O47)</f>
        <v>1560000000</v>
      </c>
      <c r="P51" s="898">
        <f>SUM(P44:P50)</f>
        <v>9360000000</v>
      </c>
      <c r="Q51" s="309">
        <f t="shared" si="0"/>
        <v>7800000000</v>
      </c>
    </row>
    <row r="52" spans="1:17" ht="19.5" customHeight="1">
      <c r="A52" s="604">
        <v>2630</v>
      </c>
      <c r="B52" s="605" t="s">
        <v>426</v>
      </c>
      <c r="C52" s="603"/>
      <c r="D52" s="603"/>
      <c r="E52" s="603"/>
      <c r="F52" s="603"/>
      <c r="G52" s="603"/>
      <c r="H52" s="603"/>
      <c r="I52" s="603"/>
      <c r="J52" s="299"/>
      <c r="K52" s="299"/>
      <c r="L52" s="299"/>
      <c r="M52" s="299"/>
      <c r="N52" s="299"/>
      <c r="O52" s="299"/>
      <c r="P52" s="895"/>
      <c r="Q52" s="277">
        <f t="shared" si="0"/>
        <v>0</v>
      </c>
    </row>
    <row r="53" spans="1:17" ht="19.5" customHeight="1">
      <c r="A53" s="393">
        <v>26301</v>
      </c>
      <c r="B53" s="277" t="s">
        <v>888</v>
      </c>
      <c r="C53" s="603"/>
      <c r="D53" s="603"/>
      <c r="E53" s="603"/>
      <c r="F53" s="603"/>
      <c r="G53" s="603"/>
      <c r="H53" s="603"/>
      <c r="I53" s="603"/>
      <c r="J53" s="299">
        <v>410000000</v>
      </c>
      <c r="K53" s="299">
        <f>410000000*70%</f>
        <v>287000000</v>
      </c>
      <c r="L53" s="299">
        <f>410000000*70%</f>
        <v>287000000</v>
      </c>
      <c r="M53" s="299">
        <v>227000000</v>
      </c>
      <c r="N53" s="299">
        <v>227000000</v>
      </c>
      <c r="O53" s="299">
        <v>227000000</v>
      </c>
      <c r="P53" s="895">
        <v>227000000</v>
      </c>
      <c r="Q53" s="277">
        <f t="shared" si="0"/>
        <v>0</v>
      </c>
    </row>
    <row r="54" spans="1:17" ht="19.5" customHeight="1">
      <c r="A54" s="393">
        <v>26303</v>
      </c>
      <c r="B54" s="277" t="s">
        <v>1253</v>
      </c>
      <c r="C54" s="603"/>
      <c r="D54" s="603"/>
      <c r="E54" s="603"/>
      <c r="F54" s="603"/>
      <c r="G54" s="603"/>
      <c r="H54" s="603"/>
      <c r="I54" s="603"/>
      <c r="J54" s="299"/>
      <c r="K54" s="299"/>
      <c r="L54" s="299">
        <v>120000000</v>
      </c>
      <c r="M54" s="299">
        <v>180000000</v>
      </c>
      <c r="N54" s="299">
        <v>720000000</v>
      </c>
      <c r="O54" s="299">
        <v>720000000</v>
      </c>
      <c r="P54" s="895">
        <v>720000000</v>
      </c>
      <c r="Q54" s="277">
        <f t="shared" si="0"/>
        <v>0</v>
      </c>
    </row>
    <row r="55" spans="1:17" ht="19.5" customHeight="1">
      <c r="A55" s="393">
        <v>26312</v>
      </c>
      <c r="B55" s="277" t="s">
        <v>889</v>
      </c>
      <c r="C55" s="603"/>
      <c r="D55" s="603"/>
      <c r="E55" s="603"/>
      <c r="F55" s="603"/>
      <c r="G55" s="603"/>
      <c r="H55" s="603"/>
      <c r="I55" s="603"/>
      <c r="J55" s="299"/>
      <c r="K55" s="299"/>
      <c r="L55" s="299">
        <v>0</v>
      </c>
      <c r="M55" s="299">
        <v>100000000</v>
      </c>
      <c r="N55" s="299">
        <v>100000000</v>
      </c>
      <c r="O55" s="299">
        <v>100000000</v>
      </c>
      <c r="P55" s="895">
        <v>100000000</v>
      </c>
      <c r="Q55" s="277">
        <f t="shared" si="0"/>
        <v>0</v>
      </c>
    </row>
    <row r="56" spans="1:17" ht="19.5" customHeight="1">
      <c r="A56" s="393">
        <v>26314</v>
      </c>
      <c r="B56" s="277" t="s">
        <v>890</v>
      </c>
      <c r="C56" s="603"/>
      <c r="D56" s="603"/>
      <c r="E56" s="603"/>
      <c r="F56" s="603"/>
      <c r="G56" s="603"/>
      <c r="H56" s="603"/>
      <c r="I56" s="603"/>
      <c r="J56" s="299"/>
      <c r="K56" s="299"/>
      <c r="L56" s="299">
        <v>0</v>
      </c>
      <c r="M56" s="299">
        <v>100000000</v>
      </c>
      <c r="N56" s="299">
        <v>100000000</v>
      </c>
      <c r="O56" s="299">
        <v>100000000</v>
      </c>
      <c r="P56" s="895">
        <v>100000000</v>
      </c>
      <c r="Q56" s="277">
        <f t="shared" si="0"/>
        <v>0</v>
      </c>
    </row>
    <row r="57" spans="1:17" ht="19.5" customHeight="1">
      <c r="A57" s="393"/>
      <c r="B57" s="309" t="s">
        <v>92</v>
      </c>
      <c r="C57" s="603"/>
      <c r="D57" s="603"/>
      <c r="E57" s="603"/>
      <c r="F57" s="603"/>
      <c r="G57" s="603"/>
      <c r="H57" s="603"/>
      <c r="I57" s="603"/>
      <c r="J57" s="299"/>
      <c r="K57" s="300">
        <f>SUM(K53)</f>
        <v>287000000</v>
      </c>
      <c r="L57" s="300">
        <f>SUM(L53:L56)</f>
        <v>407000000</v>
      </c>
      <c r="M57" s="300">
        <f>SUM(M53:M56)</f>
        <v>607000000</v>
      </c>
      <c r="N57" s="300">
        <f>SUM(N53:N56)</f>
        <v>1147000000</v>
      </c>
      <c r="O57" s="300">
        <f>SUM(O53:O56)</f>
        <v>1147000000</v>
      </c>
      <c r="P57" s="898">
        <f>SUM(P53:P56)</f>
        <v>1147000000</v>
      </c>
      <c r="Q57" s="309">
        <f t="shared" si="0"/>
        <v>0</v>
      </c>
    </row>
    <row r="58" spans="1:17" ht="19.5" customHeight="1">
      <c r="A58" s="602">
        <v>2720</v>
      </c>
      <c r="B58" s="309" t="s">
        <v>469</v>
      </c>
      <c r="C58" s="603"/>
      <c r="D58" s="603"/>
      <c r="E58" s="603"/>
      <c r="F58" s="603"/>
      <c r="G58" s="603"/>
      <c r="H58" s="603"/>
      <c r="I58" s="603"/>
      <c r="J58" s="299"/>
      <c r="K58" s="299"/>
      <c r="L58" s="299"/>
      <c r="M58" s="299"/>
      <c r="N58" s="299"/>
      <c r="O58" s="299"/>
      <c r="P58" s="895"/>
      <c r="Q58" s="277">
        <f t="shared" si="0"/>
        <v>0</v>
      </c>
    </row>
    <row r="59" spans="1:17" ht="19.5" customHeight="1">
      <c r="A59" s="393">
        <v>27204</v>
      </c>
      <c r="B59" s="277" t="s">
        <v>1357</v>
      </c>
      <c r="C59" s="603"/>
      <c r="D59" s="603"/>
      <c r="E59" s="603"/>
      <c r="F59" s="603"/>
      <c r="G59" s="603"/>
      <c r="H59" s="603"/>
      <c r="I59" s="603"/>
      <c r="J59" s="299"/>
      <c r="K59" s="299"/>
      <c r="L59" s="299">
        <v>1320000000</v>
      </c>
      <c r="M59" s="299">
        <v>0</v>
      </c>
      <c r="N59" s="299">
        <v>1000000000</v>
      </c>
      <c r="O59" s="299">
        <v>2000000000</v>
      </c>
      <c r="P59" s="895">
        <v>1500000000</v>
      </c>
      <c r="Q59" s="277">
        <f t="shared" si="0"/>
        <v>-500000000</v>
      </c>
    </row>
    <row r="60" spans="1:17" ht="19.5" customHeight="1">
      <c r="A60" s="393">
        <v>27204</v>
      </c>
      <c r="B60" s="277" t="s">
        <v>1081</v>
      </c>
      <c r="C60" s="603"/>
      <c r="D60" s="603"/>
      <c r="E60" s="603"/>
      <c r="F60" s="603"/>
      <c r="G60" s="603"/>
      <c r="H60" s="603"/>
      <c r="I60" s="603"/>
      <c r="J60" s="299"/>
      <c r="K60" s="299"/>
      <c r="L60" s="299">
        <v>210000000</v>
      </c>
      <c r="M60" s="299">
        <v>0</v>
      </c>
      <c r="N60" s="299">
        <v>987570000</v>
      </c>
      <c r="O60" s="299">
        <v>4000000000</v>
      </c>
      <c r="P60" s="895">
        <v>1000000000</v>
      </c>
      <c r="Q60" s="277">
        <f t="shared" si="0"/>
        <v>-3000000000</v>
      </c>
    </row>
    <row r="61" spans="1:17" ht="19.5" customHeight="1">
      <c r="A61" s="393">
        <v>27204</v>
      </c>
      <c r="B61" s="277" t="s">
        <v>1358</v>
      </c>
      <c r="C61" s="603"/>
      <c r="D61" s="603"/>
      <c r="E61" s="603"/>
      <c r="F61" s="603"/>
      <c r="G61" s="603"/>
      <c r="H61" s="603"/>
      <c r="I61" s="603"/>
      <c r="J61" s="299"/>
      <c r="K61" s="299"/>
      <c r="L61" s="299"/>
      <c r="M61" s="299">
        <v>0</v>
      </c>
      <c r="N61" s="299">
        <v>342000000</v>
      </c>
      <c r="O61" s="299">
        <v>0</v>
      </c>
      <c r="P61" s="895">
        <v>2500000000</v>
      </c>
      <c r="Q61" s="277">
        <f t="shared" si="0"/>
        <v>2500000000</v>
      </c>
    </row>
    <row r="62" spans="1:17" ht="19.5" customHeight="1">
      <c r="A62" s="393"/>
      <c r="B62" s="309" t="s">
        <v>92</v>
      </c>
      <c r="C62" s="603"/>
      <c r="D62" s="603"/>
      <c r="E62" s="603"/>
      <c r="F62" s="603"/>
      <c r="G62" s="603"/>
      <c r="H62" s="603"/>
      <c r="I62" s="603"/>
      <c r="J62" s="300">
        <f>SUM(J44:J53)</f>
        <v>420427200</v>
      </c>
      <c r="K62" s="300"/>
      <c r="L62" s="300">
        <f>SUM(L58:L60)</f>
        <v>1530000000</v>
      </c>
      <c r="M62" s="300">
        <f>SUM(M58:M61)</f>
        <v>0</v>
      </c>
      <c r="N62" s="300">
        <f>SUM(N59:N61)</f>
        <v>2329570000</v>
      </c>
      <c r="O62" s="300">
        <f>SUM(O59:O61)</f>
        <v>6000000000</v>
      </c>
      <c r="P62" s="898">
        <f>SUM(P59:P61)</f>
        <v>5000000000</v>
      </c>
      <c r="Q62" s="309">
        <f t="shared" si="0"/>
        <v>-1000000000</v>
      </c>
    </row>
    <row r="63" spans="1:17" ht="19.5" customHeight="1">
      <c r="A63" s="602">
        <v>2810</v>
      </c>
      <c r="B63" s="309" t="s">
        <v>1242</v>
      </c>
      <c r="C63" s="603"/>
      <c r="D63" s="603"/>
      <c r="E63" s="603"/>
      <c r="F63" s="603"/>
      <c r="G63" s="603"/>
      <c r="H63" s="603"/>
      <c r="I63" s="603"/>
      <c r="J63" s="300"/>
      <c r="K63" s="300"/>
      <c r="L63" s="300"/>
      <c r="M63" s="300"/>
      <c r="N63" s="300">
        <v>0</v>
      </c>
      <c r="O63" s="300"/>
      <c r="P63" s="898"/>
      <c r="Q63" s="277">
        <f t="shared" si="0"/>
        <v>0</v>
      </c>
    </row>
    <row r="64" spans="1:17" ht="19.5" customHeight="1">
      <c r="A64" s="393">
        <v>28102</v>
      </c>
      <c r="B64" s="309" t="s">
        <v>1289</v>
      </c>
      <c r="C64" s="603"/>
      <c r="D64" s="603"/>
      <c r="E64" s="603"/>
      <c r="F64" s="603"/>
      <c r="G64" s="603"/>
      <c r="H64" s="603"/>
      <c r="I64" s="603"/>
      <c r="J64" s="300"/>
      <c r="K64" s="300"/>
      <c r="L64" s="300"/>
      <c r="M64" s="300"/>
      <c r="N64" s="310">
        <v>100000000</v>
      </c>
      <c r="O64" s="299">
        <v>600000000</v>
      </c>
      <c r="P64" s="895">
        <v>0</v>
      </c>
      <c r="Q64" s="277">
        <f t="shared" si="0"/>
        <v>-600000000</v>
      </c>
    </row>
    <row r="65" spans="1:17" ht="19.5" customHeight="1">
      <c r="A65" s="393"/>
      <c r="B65" s="309" t="s">
        <v>92</v>
      </c>
      <c r="C65" s="603"/>
      <c r="D65" s="603"/>
      <c r="E65" s="603"/>
      <c r="F65" s="603"/>
      <c r="G65" s="603"/>
      <c r="H65" s="603"/>
      <c r="I65" s="603"/>
      <c r="J65" s="300"/>
      <c r="K65" s="300"/>
      <c r="L65" s="300"/>
      <c r="M65" s="300"/>
      <c r="N65" s="300">
        <f>SUM(N64)</f>
        <v>100000000</v>
      </c>
      <c r="O65" s="300">
        <f>SUM(O64)</f>
        <v>600000000</v>
      </c>
      <c r="P65" s="898">
        <f>SUM(P64)</f>
        <v>0</v>
      </c>
      <c r="Q65" s="277">
        <f t="shared" si="0"/>
        <v>-600000000</v>
      </c>
    </row>
    <row r="66" spans="1:17" ht="19.5" customHeight="1">
      <c r="A66" s="393"/>
      <c r="B66" s="309" t="s">
        <v>37</v>
      </c>
      <c r="C66" s="603"/>
      <c r="D66" s="603"/>
      <c r="E66" s="603"/>
      <c r="F66" s="603"/>
      <c r="G66" s="603"/>
      <c r="H66" s="603"/>
      <c r="I66" s="603"/>
      <c r="J66" s="300">
        <f>J62+J41+J36+J28+J9</f>
        <v>8510018960</v>
      </c>
      <c r="K66" s="300">
        <f>K62+K57+K51+K41+K36+K28+K9</f>
        <v>16313294637.714287</v>
      </c>
      <c r="L66" s="300">
        <f>L62+L57+L51+L41+L36+L28+L9</f>
        <v>25234452237.714287</v>
      </c>
      <c r="M66" s="300">
        <f>M62+M57+M51+M41+M36+M28+M9</f>
        <v>31145317837.714287</v>
      </c>
      <c r="N66" s="300">
        <f>N62+N57+N51+N41+N36+N28+N9+N65</f>
        <v>35700043934</v>
      </c>
      <c r="O66" s="300">
        <f>O62+O57+O51+O41+O36+O28+O9+O65</f>
        <v>43475929294</v>
      </c>
      <c r="P66" s="898">
        <f>P62+P57+P51+P41+P36+P28+P9+P65</f>
        <v>62249529774</v>
      </c>
      <c r="Q66" s="309">
        <f t="shared" si="0"/>
        <v>18773600480</v>
      </c>
    </row>
    <row r="67" spans="1:17" ht="19.5" customHeight="1">
      <c r="A67" s="616"/>
      <c r="J67" s="596"/>
    </row>
    <row r="68" spans="1:17" ht="19.5" customHeight="1">
      <c r="J68" s="596"/>
    </row>
  </sheetData>
  <phoneticPr fontId="0" type="noConversion"/>
  <printOptions gridLines="1"/>
  <pageMargins left="0.51" right="0.25" top="0.84" bottom="0.43" header="0.17" footer="0.19"/>
  <pageSetup scale="54" fitToHeight="2" orientation="portrait" r:id="rId1"/>
  <headerFooter alignWithMargins="0">
    <oddHeader>&amp;C&amp;"Algerian,Bold"&amp;36WASAARADA CAAFIMAADKA</oddHeader>
    <oddFooter>&amp;R&amp;"Times New Roman,Bold"&amp;14 42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B31" zoomScale="60" zoomScaleNormal="100" workbookViewId="0">
      <selection activeCell="H43" sqref="H43"/>
    </sheetView>
  </sheetViews>
  <sheetFormatPr defaultRowHeight="27.95" customHeight="1"/>
  <cols>
    <col min="1" max="1" width="18.1640625" style="565" bestFit="1" customWidth="1"/>
    <col min="2" max="2" width="79" style="399" customWidth="1"/>
    <col min="3" max="3" width="17.83203125" style="399" hidden="1" customWidth="1"/>
    <col min="4" max="5" width="24.5" style="399" hidden="1" customWidth="1"/>
    <col min="6" max="6" width="28.33203125" style="399" hidden="1" customWidth="1"/>
    <col min="7" max="9" width="28.33203125" style="399" customWidth="1"/>
    <col min="10" max="16384" width="9.33203125" style="399"/>
  </cols>
  <sheetData>
    <row r="1" spans="1:9" ht="27.95" customHeight="1">
      <c r="A1" s="581" t="s">
        <v>39</v>
      </c>
      <c r="B1" s="380" t="s">
        <v>1318</v>
      </c>
      <c r="C1" s="380"/>
      <c r="D1" s="380"/>
      <c r="E1" s="380"/>
      <c r="F1" s="380"/>
      <c r="G1" s="380"/>
      <c r="H1" s="380"/>
      <c r="I1" s="380"/>
    </row>
    <row r="2" spans="1:9" ht="27.95" customHeight="1">
      <c r="A2" s="581" t="s">
        <v>25</v>
      </c>
      <c r="B2" s="380" t="s">
        <v>26</v>
      </c>
      <c r="C2" s="380" t="s">
        <v>294</v>
      </c>
      <c r="D2" s="380" t="s">
        <v>814</v>
      </c>
      <c r="E2" s="380" t="s">
        <v>874</v>
      </c>
      <c r="F2" s="380" t="s">
        <v>973</v>
      </c>
      <c r="G2" s="380" t="s">
        <v>1160</v>
      </c>
      <c r="H2" s="380" t="s">
        <v>1320</v>
      </c>
      <c r="I2" s="380" t="s">
        <v>56</v>
      </c>
    </row>
    <row r="3" spans="1:9" ht="27.95" customHeight="1">
      <c r="A3" s="573">
        <v>210</v>
      </c>
      <c r="B3" s="298" t="s">
        <v>137</v>
      </c>
      <c r="C3" s="298"/>
      <c r="D3" s="298"/>
      <c r="E3" s="298"/>
      <c r="F3" s="298"/>
      <c r="G3" s="298"/>
      <c r="H3" s="298"/>
      <c r="I3" s="298"/>
    </row>
    <row r="4" spans="1:9" ht="27.95" customHeight="1">
      <c r="A4" s="573">
        <v>2110</v>
      </c>
      <c r="B4" s="298" t="s">
        <v>213</v>
      </c>
      <c r="C4" s="298"/>
      <c r="D4" s="298"/>
      <c r="E4" s="298"/>
      <c r="F4" s="298"/>
      <c r="G4" s="298"/>
      <c r="H4" s="298"/>
      <c r="I4" s="298"/>
    </row>
    <row r="5" spans="1:9" ht="27.95" customHeight="1">
      <c r="A5" s="574">
        <v>21101</v>
      </c>
      <c r="B5" s="273" t="s">
        <v>28</v>
      </c>
      <c r="C5" s="273"/>
      <c r="D5" s="273">
        <v>137810400</v>
      </c>
      <c r="E5" s="273">
        <v>0</v>
      </c>
      <c r="F5" s="273">
        <v>127445760</v>
      </c>
      <c r="G5" s="273">
        <v>127445760</v>
      </c>
      <c r="H5" s="247">
        <v>193935456</v>
      </c>
      <c r="I5" s="273">
        <f>H5-G5</f>
        <v>66489696</v>
      </c>
    </row>
    <row r="6" spans="1:9" ht="27.95" customHeight="1">
      <c r="A6" s="574">
        <v>21102</v>
      </c>
      <c r="B6" s="273" t="s">
        <v>592</v>
      </c>
      <c r="C6" s="273">
        <v>0</v>
      </c>
      <c r="D6" s="273">
        <v>0</v>
      </c>
      <c r="E6" s="273">
        <v>0</v>
      </c>
      <c r="F6" s="273">
        <v>114000000</v>
      </c>
      <c r="G6" s="273">
        <v>114000000</v>
      </c>
      <c r="H6" s="247">
        <v>114000000</v>
      </c>
      <c r="I6" s="273">
        <f t="shared" ref="I6:I43" si="0">H6-G6</f>
        <v>0</v>
      </c>
    </row>
    <row r="7" spans="1:9" ht="27.95" customHeight="1">
      <c r="A7" s="574">
        <v>21103</v>
      </c>
      <c r="B7" s="273" t="s">
        <v>30</v>
      </c>
      <c r="C7" s="273">
        <v>0</v>
      </c>
      <c r="D7" s="273">
        <v>288800000</v>
      </c>
      <c r="E7" s="273">
        <v>0</v>
      </c>
      <c r="F7" s="273">
        <v>174000000</v>
      </c>
      <c r="G7" s="273">
        <v>174000000</v>
      </c>
      <c r="H7" s="247">
        <v>174000000</v>
      </c>
      <c r="I7" s="273">
        <f t="shared" si="0"/>
        <v>0</v>
      </c>
    </row>
    <row r="8" spans="1:9" ht="27.95" customHeight="1">
      <c r="A8" s="574">
        <v>21105</v>
      </c>
      <c r="B8" s="273" t="s">
        <v>526</v>
      </c>
      <c r="C8" s="273"/>
      <c r="D8" s="273">
        <v>0</v>
      </c>
      <c r="E8" s="273">
        <v>0</v>
      </c>
      <c r="F8" s="273"/>
      <c r="G8" s="273">
        <v>60000000</v>
      </c>
      <c r="H8" s="247">
        <v>273120000</v>
      </c>
      <c r="I8" s="273">
        <f t="shared" si="0"/>
        <v>213120000</v>
      </c>
    </row>
    <row r="9" spans="1:9" ht="27.95" customHeight="1">
      <c r="A9" s="574"/>
      <c r="B9" s="298" t="s">
        <v>92</v>
      </c>
      <c r="C9" s="273">
        <v>0</v>
      </c>
      <c r="D9" s="298">
        <f>SUM(D5:D8)</f>
        <v>426610400</v>
      </c>
      <c r="E9" s="273">
        <v>0</v>
      </c>
      <c r="F9" s="298">
        <f>SUM(F5:F8)</f>
        <v>415445760</v>
      </c>
      <c r="G9" s="298">
        <f>SUM(G5:G8)</f>
        <v>475445760</v>
      </c>
      <c r="H9" s="256">
        <f>SUM(H5:H8)</f>
        <v>755055456</v>
      </c>
      <c r="I9" s="298">
        <f t="shared" si="0"/>
        <v>279609696</v>
      </c>
    </row>
    <row r="10" spans="1:9" ht="27.95" customHeight="1">
      <c r="A10" s="573">
        <v>220</v>
      </c>
      <c r="B10" s="298" t="s">
        <v>225</v>
      </c>
      <c r="C10" s="273">
        <v>0</v>
      </c>
      <c r="D10" s="298"/>
      <c r="E10" s="273">
        <v>0</v>
      </c>
      <c r="F10" s="298"/>
      <c r="G10" s="298"/>
      <c r="H10" s="256"/>
      <c r="I10" s="273">
        <f t="shared" si="0"/>
        <v>0</v>
      </c>
    </row>
    <row r="11" spans="1:9" ht="27.95" customHeight="1">
      <c r="A11" s="573">
        <v>2210</v>
      </c>
      <c r="B11" s="298" t="s">
        <v>226</v>
      </c>
      <c r="C11" s="273">
        <v>0</v>
      </c>
      <c r="D11" s="298"/>
      <c r="E11" s="273">
        <v>0</v>
      </c>
      <c r="F11" s="298"/>
      <c r="G11" s="298"/>
      <c r="H11" s="256"/>
      <c r="I11" s="273">
        <f t="shared" si="0"/>
        <v>0</v>
      </c>
    </row>
    <row r="12" spans="1:9" ht="27.95" customHeight="1">
      <c r="A12" s="574">
        <v>22101</v>
      </c>
      <c r="B12" s="273" t="s">
        <v>33</v>
      </c>
      <c r="C12" s="273">
        <v>0</v>
      </c>
      <c r="D12" s="273">
        <v>10000000</v>
      </c>
      <c r="E12" s="273">
        <v>0</v>
      </c>
      <c r="F12" s="273">
        <v>8000000</v>
      </c>
      <c r="G12" s="273">
        <v>8000000</v>
      </c>
      <c r="H12" s="247">
        <v>20000000</v>
      </c>
      <c r="I12" s="273">
        <f t="shared" si="0"/>
        <v>12000000</v>
      </c>
    </row>
    <row r="13" spans="1:9" ht="27.95" customHeight="1">
      <c r="A13" s="574">
        <v>22102</v>
      </c>
      <c r="B13" s="273" t="s">
        <v>337</v>
      </c>
      <c r="C13" s="273">
        <v>0</v>
      </c>
      <c r="D13" s="273">
        <v>28800000</v>
      </c>
      <c r="E13" s="273">
        <v>0</v>
      </c>
      <c r="F13" s="273"/>
      <c r="G13" s="273"/>
      <c r="H13" s="247"/>
      <c r="I13" s="273">
        <f t="shared" si="0"/>
        <v>0</v>
      </c>
    </row>
    <row r="14" spans="1:9" ht="27.95" customHeight="1">
      <c r="A14" s="574">
        <v>22104</v>
      </c>
      <c r="B14" s="273" t="s">
        <v>157</v>
      </c>
      <c r="C14" s="273">
        <v>0</v>
      </c>
      <c r="D14" s="273">
        <v>5000000</v>
      </c>
      <c r="E14" s="273">
        <v>0</v>
      </c>
      <c r="F14" s="273">
        <v>6700000</v>
      </c>
      <c r="G14" s="273">
        <v>22500000</v>
      </c>
      <c r="H14" s="247">
        <v>22500000</v>
      </c>
      <c r="I14" s="273">
        <f t="shared" si="0"/>
        <v>0</v>
      </c>
    </row>
    <row r="15" spans="1:9" ht="27.95" customHeight="1">
      <c r="A15" s="574">
        <v>22105</v>
      </c>
      <c r="B15" s="273" t="s">
        <v>578</v>
      </c>
      <c r="C15" s="273">
        <v>0</v>
      </c>
      <c r="D15" s="273">
        <v>50400000</v>
      </c>
      <c r="E15" s="273">
        <v>0</v>
      </c>
      <c r="F15" s="273">
        <v>50400000</v>
      </c>
      <c r="G15" s="273">
        <v>0</v>
      </c>
      <c r="H15" s="247">
        <v>0</v>
      </c>
      <c r="I15" s="273">
        <f t="shared" si="0"/>
        <v>0</v>
      </c>
    </row>
    <row r="16" spans="1:9" ht="27.95" customHeight="1">
      <c r="A16" s="574">
        <v>22106</v>
      </c>
      <c r="B16" s="273" t="s">
        <v>126</v>
      </c>
      <c r="C16" s="273">
        <v>0</v>
      </c>
      <c r="D16" s="273"/>
      <c r="E16" s="273">
        <v>0</v>
      </c>
      <c r="F16" s="273"/>
      <c r="G16" s="273"/>
      <c r="H16" s="247"/>
      <c r="I16" s="273">
        <f t="shared" si="0"/>
        <v>0</v>
      </c>
    </row>
    <row r="17" spans="1:9" ht="27.95" customHeight="1">
      <c r="A17" s="574">
        <v>22107</v>
      </c>
      <c r="B17" s="273" t="s">
        <v>48</v>
      </c>
      <c r="C17" s="273">
        <v>0</v>
      </c>
      <c r="D17" s="273"/>
      <c r="E17" s="273">
        <v>0</v>
      </c>
      <c r="F17" s="273"/>
      <c r="G17" s="273"/>
      <c r="H17" s="247">
        <v>21000000</v>
      </c>
      <c r="I17" s="273">
        <f t="shared" si="0"/>
        <v>21000000</v>
      </c>
    </row>
    <row r="18" spans="1:9" ht="27.95" customHeight="1">
      <c r="A18" s="574">
        <v>22109</v>
      </c>
      <c r="B18" s="273" t="s">
        <v>136</v>
      </c>
      <c r="C18" s="273">
        <v>0</v>
      </c>
      <c r="D18" s="273">
        <v>10000000</v>
      </c>
      <c r="E18" s="273">
        <v>0</v>
      </c>
      <c r="F18" s="273">
        <v>5000000</v>
      </c>
      <c r="G18" s="273">
        <v>5000000</v>
      </c>
      <c r="H18" s="247">
        <v>5000000</v>
      </c>
      <c r="I18" s="273">
        <f t="shared" si="0"/>
        <v>0</v>
      </c>
    </row>
    <row r="19" spans="1:9" ht="27.95" customHeight="1">
      <c r="A19" s="574">
        <v>22112</v>
      </c>
      <c r="B19" s="273" t="s">
        <v>35</v>
      </c>
      <c r="C19" s="273">
        <v>0</v>
      </c>
      <c r="D19" s="273">
        <v>3000000</v>
      </c>
      <c r="E19" s="273">
        <v>0</v>
      </c>
      <c r="F19" s="273">
        <v>10000000</v>
      </c>
      <c r="G19" s="273">
        <v>17250000</v>
      </c>
      <c r="H19" s="247">
        <v>17250000</v>
      </c>
      <c r="I19" s="273">
        <f t="shared" si="0"/>
        <v>0</v>
      </c>
    </row>
    <row r="20" spans="1:9" ht="27.95" customHeight="1">
      <c r="A20" s="574">
        <v>22129</v>
      </c>
      <c r="B20" s="273" t="s">
        <v>359</v>
      </c>
      <c r="C20" s="273">
        <v>0</v>
      </c>
      <c r="D20" s="273"/>
      <c r="E20" s="273">
        <v>0</v>
      </c>
      <c r="F20" s="273"/>
      <c r="G20" s="273"/>
      <c r="H20" s="247"/>
      <c r="I20" s="273">
        <f t="shared" si="0"/>
        <v>0</v>
      </c>
    </row>
    <row r="21" spans="1:9" ht="27.95" customHeight="1">
      <c r="A21" s="574">
        <v>22132</v>
      </c>
      <c r="B21" s="273" t="s">
        <v>187</v>
      </c>
      <c r="C21" s="273">
        <v>0</v>
      </c>
      <c r="D21" s="273"/>
      <c r="E21" s="273">
        <v>0</v>
      </c>
      <c r="F21" s="273"/>
      <c r="G21" s="273"/>
      <c r="H21" s="247"/>
      <c r="I21" s="273">
        <f t="shared" si="0"/>
        <v>0</v>
      </c>
    </row>
    <row r="22" spans="1:9" ht="27.95" customHeight="1">
      <c r="A22" s="574">
        <v>22137</v>
      </c>
      <c r="B22" s="273" t="s">
        <v>272</v>
      </c>
      <c r="C22" s="273">
        <v>0</v>
      </c>
      <c r="D22" s="273">
        <v>0</v>
      </c>
      <c r="E22" s="273">
        <v>0</v>
      </c>
      <c r="F22" s="273"/>
      <c r="G22" s="273"/>
      <c r="H22" s="247"/>
      <c r="I22" s="273">
        <f t="shared" si="0"/>
        <v>0</v>
      </c>
    </row>
    <row r="23" spans="1:9" ht="27.95" customHeight="1">
      <c r="A23" s="574"/>
      <c r="B23" s="298" t="s">
        <v>92</v>
      </c>
      <c r="C23" s="273">
        <v>0</v>
      </c>
      <c r="D23" s="298">
        <f>SUM(D12:D22)</f>
        <v>107200000</v>
      </c>
      <c r="E23" s="273">
        <v>0</v>
      </c>
      <c r="F23" s="298">
        <f>SUM(F12:F22)</f>
        <v>80100000</v>
      </c>
      <c r="G23" s="298">
        <f>SUM(G12:G22)</f>
        <v>52750000</v>
      </c>
      <c r="H23" s="256">
        <f>SUM(H12:H22)</f>
        <v>85750000</v>
      </c>
      <c r="I23" s="298">
        <f t="shared" si="0"/>
        <v>33000000</v>
      </c>
    </row>
    <row r="24" spans="1:9" ht="27.95" customHeight="1">
      <c r="A24" s="573">
        <v>2220</v>
      </c>
      <c r="B24" s="298" t="s">
        <v>240</v>
      </c>
      <c r="C24" s="273">
        <v>0</v>
      </c>
      <c r="D24" s="298"/>
      <c r="E24" s="273">
        <v>0</v>
      </c>
      <c r="F24" s="298"/>
      <c r="G24" s="298"/>
      <c r="H24" s="256"/>
      <c r="I24" s="273">
        <f t="shared" si="0"/>
        <v>0</v>
      </c>
    </row>
    <row r="25" spans="1:9" ht="27.95" customHeight="1">
      <c r="A25" s="574">
        <v>22202</v>
      </c>
      <c r="B25" s="273" t="s">
        <v>133</v>
      </c>
      <c r="C25" s="273">
        <v>0</v>
      </c>
      <c r="D25" s="273">
        <v>35000000</v>
      </c>
      <c r="E25" s="273">
        <v>0</v>
      </c>
      <c r="F25" s="273">
        <v>50000000</v>
      </c>
      <c r="G25" s="273">
        <v>70000000</v>
      </c>
      <c r="H25" s="247">
        <v>70000000</v>
      </c>
      <c r="I25" s="273">
        <f t="shared" si="0"/>
        <v>0</v>
      </c>
    </row>
    <row r="26" spans="1:9" ht="27.95" customHeight="1">
      <c r="A26" s="574">
        <v>22203</v>
      </c>
      <c r="B26" s="273" t="s">
        <v>127</v>
      </c>
      <c r="C26" s="273">
        <v>0</v>
      </c>
      <c r="D26" s="273">
        <v>10000000</v>
      </c>
      <c r="E26" s="273">
        <v>0</v>
      </c>
      <c r="F26" s="273">
        <v>10000000</v>
      </c>
      <c r="G26" s="273">
        <v>10000000</v>
      </c>
      <c r="H26" s="247">
        <v>20000000</v>
      </c>
      <c r="I26" s="273">
        <f t="shared" si="0"/>
        <v>10000000</v>
      </c>
    </row>
    <row r="27" spans="1:9" ht="27.95" customHeight="1">
      <c r="A27" s="574">
        <v>22204</v>
      </c>
      <c r="B27" s="273" t="s">
        <v>128</v>
      </c>
      <c r="C27" s="273">
        <v>0</v>
      </c>
      <c r="D27" s="273">
        <v>2000000</v>
      </c>
      <c r="E27" s="273">
        <v>0</v>
      </c>
      <c r="F27" s="273">
        <v>3000000</v>
      </c>
      <c r="G27" s="273">
        <v>3000000</v>
      </c>
      <c r="H27" s="247">
        <v>3000000</v>
      </c>
      <c r="I27" s="273">
        <f t="shared" si="0"/>
        <v>0</v>
      </c>
    </row>
    <row r="28" spans="1:9" ht="27.95" customHeight="1">
      <c r="A28" s="574">
        <v>22207</v>
      </c>
      <c r="B28" s="273" t="s">
        <v>358</v>
      </c>
      <c r="C28" s="273">
        <v>0</v>
      </c>
      <c r="D28" s="273"/>
      <c r="E28" s="273">
        <v>0</v>
      </c>
      <c r="F28" s="273"/>
      <c r="G28" s="273"/>
      <c r="H28" s="247"/>
      <c r="I28" s="273">
        <f t="shared" si="0"/>
        <v>0</v>
      </c>
    </row>
    <row r="29" spans="1:9" ht="27.95" customHeight="1">
      <c r="A29" s="574"/>
      <c r="B29" s="298" t="s">
        <v>92</v>
      </c>
      <c r="C29" s="273">
        <v>0</v>
      </c>
      <c r="D29" s="298">
        <f>SUM(D25:D28)</f>
        <v>47000000</v>
      </c>
      <c r="E29" s="273">
        <v>0</v>
      </c>
      <c r="F29" s="298">
        <f>SUM(F25:F28)</f>
        <v>63000000</v>
      </c>
      <c r="G29" s="298">
        <f>SUM(G25:G28)</f>
        <v>83000000</v>
      </c>
      <c r="H29" s="256">
        <f>SUM(H25:H28)</f>
        <v>93000000</v>
      </c>
      <c r="I29" s="298">
        <f t="shared" si="0"/>
        <v>10000000</v>
      </c>
    </row>
    <row r="30" spans="1:9" ht="27.95" customHeight="1">
      <c r="A30" s="573">
        <v>2230</v>
      </c>
      <c r="B30" s="298" t="s">
        <v>130</v>
      </c>
      <c r="C30" s="273">
        <v>0</v>
      </c>
      <c r="D30" s="298"/>
      <c r="E30" s="273">
        <v>0</v>
      </c>
      <c r="F30" s="298"/>
      <c r="G30" s="298"/>
      <c r="H30" s="256"/>
      <c r="I30" s="273">
        <f t="shared" si="0"/>
        <v>0</v>
      </c>
    </row>
    <row r="31" spans="1:9" ht="27.95" customHeight="1">
      <c r="A31" s="574">
        <v>22301</v>
      </c>
      <c r="B31" s="273" t="s">
        <v>49</v>
      </c>
      <c r="C31" s="273">
        <v>0</v>
      </c>
      <c r="D31" s="273">
        <v>10000000</v>
      </c>
      <c r="E31" s="273">
        <v>0</v>
      </c>
      <c r="F31" s="273">
        <v>18000000</v>
      </c>
      <c r="G31" s="273">
        <v>18000000</v>
      </c>
      <c r="H31" s="247">
        <v>28000000</v>
      </c>
      <c r="I31" s="273">
        <f t="shared" si="0"/>
        <v>10000000</v>
      </c>
    </row>
    <row r="32" spans="1:9" ht="27.95" customHeight="1">
      <c r="A32" s="574">
        <v>22302</v>
      </c>
      <c r="B32" s="273" t="s">
        <v>249</v>
      </c>
      <c r="C32" s="273">
        <v>0</v>
      </c>
      <c r="D32" s="273"/>
      <c r="E32" s="273">
        <v>0</v>
      </c>
      <c r="F32" s="273"/>
      <c r="G32" s="273"/>
      <c r="H32" s="273"/>
      <c r="I32" s="273">
        <f t="shared" si="0"/>
        <v>0</v>
      </c>
    </row>
    <row r="33" spans="1:9" ht="27.95" customHeight="1">
      <c r="A33" s="574">
        <v>22304</v>
      </c>
      <c r="B33" s="273" t="s">
        <v>1323</v>
      </c>
      <c r="C33" s="273">
        <v>0</v>
      </c>
      <c r="D33" s="273"/>
      <c r="E33" s="273">
        <v>0</v>
      </c>
      <c r="F33" s="273"/>
      <c r="G33" s="273"/>
      <c r="H33" s="273"/>
      <c r="I33" s="273">
        <f t="shared" si="0"/>
        <v>0</v>
      </c>
    </row>
    <row r="34" spans="1:9" ht="27.95" customHeight="1">
      <c r="A34" s="574">
        <v>22313</v>
      </c>
      <c r="B34" s="273" t="s">
        <v>251</v>
      </c>
      <c r="C34" s="273">
        <v>0</v>
      </c>
      <c r="D34" s="273"/>
      <c r="E34" s="273">
        <v>0</v>
      </c>
      <c r="F34" s="273"/>
      <c r="G34" s="273"/>
      <c r="H34" s="273"/>
      <c r="I34" s="273">
        <f t="shared" si="0"/>
        <v>0</v>
      </c>
    </row>
    <row r="35" spans="1:9" ht="27.95" customHeight="1">
      <c r="A35" s="574"/>
      <c r="B35" s="298" t="s">
        <v>92</v>
      </c>
      <c r="C35" s="273">
        <v>0</v>
      </c>
      <c r="D35" s="298">
        <f>SUM(D31:D34)</f>
        <v>10000000</v>
      </c>
      <c r="E35" s="273">
        <v>0</v>
      </c>
      <c r="F35" s="298">
        <f>SUM(F31:F34)</f>
        <v>18000000</v>
      </c>
      <c r="G35" s="298">
        <f>SUM(G31:G34)</f>
        <v>18000000</v>
      </c>
      <c r="H35" s="298">
        <f>SUM(H31:H34)</f>
        <v>28000000</v>
      </c>
      <c r="I35" s="298">
        <f t="shared" si="0"/>
        <v>10000000</v>
      </c>
    </row>
    <row r="36" spans="1:9" ht="27.95" customHeight="1">
      <c r="A36" s="573">
        <v>270</v>
      </c>
      <c r="B36" s="298" t="s">
        <v>253</v>
      </c>
      <c r="C36" s="273">
        <v>0</v>
      </c>
      <c r="D36" s="298"/>
      <c r="E36" s="273">
        <v>0</v>
      </c>
      <c r="F36" s="298"/>
      <c r="G36" s="298"/>
      <c r="H36" s="298"/>
      <c r="I36" s="273">
        <f t="shared" si="0"/>
        <v>0</v>
      </c>
    </row>
    <row r="37" spans="1:9" ht="27.95" customHeight="1">
      <c r="A37" s="573">
        <v>2710</v>
      </c>
      <c r="B37" s="298" t="s">
        <v>252</v>
      </c>
      <c r="C37" s="273">
        <v>0</v>
      </c>
      <c r="D37" s="298"/>
      <c r="E37" s="273">
        <v>0</v>
      </c>
      <c r="F37" s="298"/>
      <c r="G37" s="298"/>
      <c r="H37" s="298"/>
      <c r="I37" s="273">
        <f t="shared" si="0"/>
        <v>0</v>
      </c>
    </row>
    <row r="38" spans="1:9" ht="27.95" customHeight="1">
      <c r="A38" s="574">
        <v>27601</v>
      </c>
      <c r="B38" s="273" t="s">
        <v>472</v>
      </c>
      <c r="C38" s="273">
        <v>0</v>
      </c>
      <c r="D38" s="273"/>
      <c r="E38" s="273">
        <v>0</v>
      </c>
      <c r="F38" s="273">
        <v>5000000</v>
      </c>
      <c r="G38" s="273">
        <v>0</v>
      </c>
      <c r="H38" s="273">
        <v>0</v>
      </c>
      <c r="I38" s="273">
        <f t="shared" si="0"/>
        <v>0</v>
      </c>
    </row>
    <row r="39" spans="1:9" ht="27.95" customHeight="1">
      <c r="A39" s="574">
        <v>27402</v>
      </c>
      <c r="B39" s="273" t="s">
        <v>474</v>
      </c>
      <c r="C39" s="273">
        <v>0</v>
      </c>
      <c r="D39" s="273"/>
      <c r="E39" s="273">
        <v>0</v>
      </c>
      <c r="F39" s="273">
        <v>120000000</v>
      </c>
      <c r="G39" s="273">
        <v>42000000</v>
      </c>
      <c r="H39" s="273">
        <v>0</v>
      </c>
      <c r="I39" s="273">
        <f t="shared" si="0"/>
        <v>-42000000</v>
      </c>
    </row>
    <row r="40" spans="1:9" ht="27.95" customHeight="1">
      <c r="A40" s="574">
        <v>27502</v>
      </c>
      <c r="B40" s="273" t="s">
        <v>148</v>
      </c>
      <c r="C40" s="273">
        <v>0</v>
      </c>
      <c r="D40" s="273"/>
      <c r="E40" s="273">
        <v>0</v>
      </c>
      <c r="F40" s="273"/>
      <c r="G40" s="273"/>
      <c r="H40" s="273"/>
      <c r="I40" s="273">
        <f t="shared" si="0"/>
        <v>0</v>
      </c>
    </row>
    <row r="41" spans="1:9" ht="27.95" customHeight="1">
      <c r="A41" s="574">
        <v>27604</v>
      </c>
      <c r="B41" s="273" t="s">
        <v>149</v>
      </c>
      <c r="C41" s="273">
        <v>0</v>
      </c>
      <c r="D41" s="273"/>
      <c r="E41" s="273">
        <v>0</v>
      </c>
      <c r="F41" s="273"/>
      <c r="G41" s="273"/>
      <c r="H41" s="273"/>
      <c r="I41" s="273">
        <f t="shared" si="0"/>
        <v>0</v>
      </c>
    </row>
    <row r="42" spans="1:9" ht="27.95" customHeight="1">
      <c r="A42" s="574"/>
      <c r="B42" s="298" t="s">
        <v>92</v>
      </c>
      <c r="C42" s="273">
        <v>0</v>
      </c>
      <c r="D42" s="298">
        <f>SUM(D38:D41)</f>
        <v>0</v>
      </c>
      <c r="E42" s="273">
        <v>0</v>
      </c>
      <c r="F42" s="298">
        <f>SUM(F38:F41)</f>
        <v>125000000</v>
      </c>
      <c r="G42" s="298">
        <f>SUM(G38:G41)</f>
        <v>42000000</v>
      </c>
      <c r="H42" s="298">
        <f>SUM(H38:H41)</f>
        <v>0</v>
      </c>
      <c r="I42" s="298">
        <f t="shared" si="0"/>
        <v>-42000000</v>
      </c>
    </row>
    <row r="43" spans="1:9" ht="27.95" customHeight="1">
      <c r="A43" s="574"/>
      <c r="B43" s="298" t="s">
        <v>37</v>
      </c>
      <c r="C43" s="273">
        <v>0</v>
      </c>
      <c r="D43" s="298">
        <f>D42+D35+D29+D23+D9</f>
        <v>590810400</v>
      </c>
      <c r="E43" s="273">
        <v>0</v>
      </c>
      <c r="F43" s="298">
        <f>F42+F35+F29+F23+F9</f>
        <v>701545760</v>
      </c>
      <c r="G43" s="298">
        <f>G42+G35+G29+G23+G9</f>
        <v>671195760</v>
      </c>
      <c r="H43" s="298">
        <f>H42+H35+H29+H23+H9</f>
        <v>961805456</v>
      </c>
      <c r="I43" s="298">
        <f t="shared" si="0"/>
        <v>290609696</v>
      </c>
    </row>
  </sheetData>
  <pageMargins left="0.7" right="0.7" top="0.75" bottom="0.75" header="0.3" footer="0.3"/>
  <pageSetup scale="55" orientation="portrait" r:id="rId1"/>
  <headerFooter>
    <oddHeader>&amp;C&amp;"Algerian,Bold"&amp;36KOMISHANKA MIHNADLEYDA CAAFIMAADKA</oddHeader>
    <oddFooter>&amp;R&amp;"Times New Roman,Bold"&amp;20 43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view="pageBreakPreview" topLeftCell="A7" zoomScale="60" zoomScaleNormal="100" workbookViewId="0">
      <selection activeCell="D7" sqref="D7"/>
    </sheetView>
  </sheetViews>
  <sheetFormatPr defaultRowHeight="35.1" customHeight="1"/>
  <cols>
    <col min="1" max="1" width="19.33203125" style="189" bestFit="1" customWidth="1"/>
    <col min="2" max="2" width="92.1640625" bestFit="1" customWidth="1"/>
    <col min="3" max="3" width="44" style="80" customWidth="1"/>
    <col min="4" max="4" width="26.33203125" style="786" bestFit="1" customWidth="1"/>
  </cols>
  <sheetData>
    <row r="4" spans="1:4" ht="35.1" customHeight="1">
      <c r="A4" s="1017" t="s">
        <v>1415</v>
      </c>
      <c r="B4" s="1018"/>
      <c r="C4" s="1018"/>
      <c r="D4" s="1019"/>
    </row>
    <row r="5" spans="1:4" s="180" customFormat="1" ht="35.1" customHeight="1">
      <c r="A5" s="187" t="s">
        <v>25</v>
      </c>
      <c r="B5" s="183" t="s">
        <v>542</v>
      </c>
      <c r="C5" s="181" t="s">
        <v>1416</v>
      </c>
      <c r="D5" s="784" t="s">
        <v>545</v>
      </c>
    </row>
    <row r="6" spans="1:4" ht="35.1" customHeight="1">
      <c r="A6" s="186">
        <v>210</v>
      </c>
      <c r="B6" s="182" t="s">
        <v>27</v>
      </c>
      <c r="C6" s="185">
        <f>'Soo koobida guud'!D65</f>
        <v>683409515924</v>
      </c>
      <c r="D6" s="785">
        <f>C6/C19</f>
        <v>0.43999983654473152</v>
      </c>
    </row>
    <row r="7" spans="1:4" ht="35.1" customHeight="1">
      <c r="A7" s="186">
        <v>212</v>
      </c>
      <c r="B7" s="182" t="s">
        <v>1240</v>
      </c>
      <c r="C7" s="185">
        <f>'Soo koobida guud'!E65</f>
        <v>20516737200</v>
      </c>
      <c r="D7" s="785">
        <f>C7/C19</f>
        <v>1.3209299554785713E-2</v>
      </c>
    </row>
    <row r="8" spans="1:4" ht="35.1" customHeight="1">
      <c r="A8" s="186">
        <v>2210</v>
      </c>
      <c r="B8" s="182" t="s">
        <v>538</v>
      </c>
      <c r="C8" s="185">
        <f>'Soo koobida guud'!F65</f>
        <v>369345882274.10999</v>
      </c>
      <c r="D8" s="785">
        <f>C8/C19</f>
        <v>0.23779611498290953</v>
      </c>
    </row>
    <row r="9" spans="1:4" ht="35.1" customHeight="1">
      <c r="A9" s="186">
        <v>2220</v>
      </c>
      <c r="B9" s="182" t="s">
        <v>539</v>
      </c>
      <c r="C9" s="185">
        <f>'Soo koobida guud'!G65</f>
        <v>149246614540.20001</v>
      </c>
      <c r="D9" s="785">
        <f>C9/C19</f>
        <v>9.6089510714166521E-2</v>
      </c>
    </row>
    <row r="10" spans="1:4" ht="35.1" customHeight="1">
      <c r="A10" s="186">
        <v>2230</v>
      </c>
      <c r="B10" s="182" t="s">
        <v>540</v>
      </c>
      <c r="C10" s="185">
        <f>'Soo koobida guud'!H65</f>
        <v>19261141611.099998</v>
      </c>
      <c r="D10" s="785">
        <f>C10/C19</f>
        <v>1.2400908917825772E-2</v>
      </c>
    </row>
    <row r="11" spans="1:4" ht="35.1" customHeight="1">
      <c r="A11" s="186">
        <v>2710</v>
      </c>
      <c r="B11" s="182" t="s">
        <v>386</v>
      </c>
      <c r="C11" s="185">
        <f>'Soo koobida guud'!I65</f>
        <v>37202183720</v>
      </c>
      <c r="D11" s="785">
        <f>C11/C19</f>
        <v>2.3951897617017402E-2</v>
      </c>
    </row>
    <row r="12" spans="1:4" ht="35.1" customHeight="1">
      <c r="A12" s="186">
        <v>2720</v>
      </c>
      <c r="B12" s="182" t="s">
        <v>261</v>
      </c>
      <c r="C12" s="185">
        <f>'Soo koobida guud'!J65</f>
        <v>69850000000</v>
      </c>
      <c r="D12" s="785">
        <f>C12/C19</f>
        <v>4.4971554926471549E-2</v>
      </c>
    </row>
    <row r="13" spans="1:4" ht="35.1" customHeight="1">
      <c r="A13" s="186">
        <v>2510</v>
      </c>
      <c r="B13" s="182" t="s">
        <v>1305</v>
      </c>
      <c r="C13" s="185">
        <f>'Soo koobida guud'!K65</f>
        <v>46252413931</v>
      </c>
      <c r="D13" s="785">
        <f>C13/C19</f>
        <v>2.977871114645475E-2</v>
      </c>
    </row>
    <row r="14" spans="1:4" ht="35.1" customHeight="1">
      <c r="A14" s="186">
        <v>2630</v>
      </c>
      <c r="B14" s="182" t="s">
        <v>541</v>
      </c>
      <c r="C14" s="185">
        <f>'Soo koobida guud'!L65</f>
        <v>36067390800</v>
      </c>
      <c r="D14" s="785">
        <f>C14/C19</f>
        <v>2.3221283413267207E-2</v>
      </c>
    </row>
    <row r="15" spans="1:4" ht="35.1" customHeight="1">
      <c r="A15" s="186">
        <v>2650</v>
      </c>
      <c r="B15" s="182" t="s">
        <v>1258</v>
      </c>
      <c r="C15" s="185">
        <f>'Soo koobida guud'!M65</f>
        <v>44734942000</v>
      </c>
      <c r="D15" s="785">
        <f>C15/C19</f>
        <v>2.8801716553837065E-2</v>
      </c>
    </row>
    <row r="16" spans="1:4" ht="35.1" customHeight="1">
      <c r="A16" s="186">
        <v>2660</v>
      </c>
      <c r="B16" s="182" t="s">
        <v>1291</v>
      </c>
      <c r="C16" s="185">
        <f>'Soo koobida guud'!N65</f>
        <v>12000000000</v>
      </c>
      <c r="D16" s="785">
        <f>C16/C19</f>
        <v>7.7259650553709166E-3</v>
      </c>
    </row>
    <row r="17" spans="1:4" ht="35.1" customHeight="1">
      <c r="A17" s="186">
        <v>2810</v>
      </c>
      <c r="B17" s="182" t="s">
        <v>1242</v>
      </c>
      <c r="C17" s="185">
        <f>'Soo koobida guud'!O65</f>
        <v>20913178000</v>
      </c>
      <c r="D17" s="785">
        <f>C17/C19</f>
        <v>1.3464540202062654E-2</v>
      </c>
    </row>
    <row r="18" spans="1:4" ht="35.1" customHeight="1">
      <c r="A18" s="186">
        <v>29320</v>
      </c>
      <c r="B18" s="182" t="s">
        <v>1488</v>
      </c>
      <c r="C18" s="185">
        <f>'Soo koobida guud'!P65</f>
        <v>44404022280</v>
      </c>
      <c r="D18" s="785">
        <f>C18/C19</f>
        <v>2.8588660371099302E-2</v>
      </c>
    </row>
    <row r="19" spans="1:4" ht="35.1" customHeight="1">
      <c r="A19" s="188"/>
      <c r="B19" s="184" t="s">
        <v>544</v>
      </c>
      <c r="C19" s="190">
        <f>SUM(C6:C18)</f>
        <v>1553204022280.4102</v>
      </c>
      <c r="D19" s="787">
        <f>C19/C19</f>
        <v>1</v>
      </c>
    </row>
  </sheetData>
  <mergeCells count="1">
    <mergeCell ref="A4:D4"/>
  </mergeCells>
  <pageMargins left="0.45" right="0.37" top="3.18" bottom="0.75" header="1.91" footer="0.3"/>
  <pageSetup scale="60" orientation="portrait" r:id="rId1"/>
  <headerFooter>
    <oddHeader>&amp;C&amp;"Agency FB,Bold"&amp;36Shaxda Kharashka Guud ee Miisaaniyadda Sannadka 2017.</oddHeader>
    <oddFooter xml:space="preserve">&amp;R&amp;"Times New Roman,Bold"&amp;12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R54"/>
  <sheetViews>
    <sheetView view="pageBreakPreview" topLeftCell="A37" zoomScale="60" zoomScaleNormal="60" zoomScalePageLayoutView="70" workbookViewId="0">
      <selection activeCell="Q50" sqref="Q50"/>
    </sheetView>
  </sheetViews>
  <sheetFormatPr defaultRowHeight="24.95" customHeight="1"/>
  <cols>
    <col min="1" max="1" width="19.33203125" style="584" bestFit="1" customWidth="1"/>
    <col min="2" max="2" width="94.1640625" style="528" customWidth="1"/>
    <col min="3" max="10" width="9.33203125" style="528" hidden="1" customWidth="1"/>
    <col min="11" max="11" width="24.5" style="528" hidden="1" customWidth="1"/>
    <col min="12" max="12" width="0.1640625" style="528" hidden="1" customWidth="1"/>
    <col min="13" max="15" width="27.6640625" style="528" hidden="1" customWidth="1"/>
    <col min="16" max="18" width="27.6640625" style="528" customWidth="1"/>
    <col min="19" max="16384" width="9.33203125" style="528"/>
  </cols>
  <sheetData>
    <row r="1" spans="1:18" ht="24.95" customHeight="1">
      <c r="A1" s="618" t="s">
        <v>39</v>
      </c>
      <c r="B1" s="303" t="s">
        <v>1016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619"/>
      <c r="N1" s="619"/>
      <c r="O1" s="619"/>
      <c r="P1" s="619"/>
      <c r="Q1" s="619"/>
      <c r="R1" s="619"/>
    </row>
    <row r="2" spans="1:18" s="529" customFormat="1" ht="24.95" customHeight="1">
      <c r="A2" s="476" t="s">
        <v>25</v>
      </c>
      <c r="B2" s="303" t="s">
        <v>26</v>
      </c>
      <c r="C2" s="280" t="s">
        <v>26</v>
      </c>
      <c r="D2" s="280" t="s">
        <v>2</v>
      </c>
      <c r="E2" s="280" t="s">
        <v>43</v>
      </c>
      <c r="F2" s="280" t="s">
        <v>46</v>
      </c>
      <c r="G2" s="280" t="s">
        <v>55</v>
      </c>
      <c r="H2" s="286" t="s">
        <v>62</v>
      </c>
      <c r="I2" s="286" t="s">
        <v>103</v>
      </c>
      <c r="J2" s="286" t="s">
        <v>116</v>
      </c>
      <c r="K2" s="286" t="s">
        <v>138</v>
      </c>
      <c r="L2" s="286" t="s">
        <v>257</v>
      </c>
      <c r="M2" s="286" t="s">
        <v>814</v>
      </c>
      <c r="N2" s="286" t="s">
        <v>874</v>
      </c>
      <c r="O2" s="286" t="s">
        <v>973</v>
      </c>
      <c r="P2" s="286" t="s">
        <v>1160</v>
      </c>
      <c r="Q2" s="286" t="s">
        <v>1320</v>
      </c>
      <c r="R2" s="286" t="s">
        <v>56</v>
      </c>
    </row>
    <row r="3" spans="1:18" s="529" customFormat="1" ht="24.95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4.95" customHeight="1">
      <c r="A4" s="476">
        <v>2110</v>
      </c>
      <c r="B4" s="280" t="s">
        <v>213</v>
      </c>
      <c r="C4" s="246">
        <v>86305000</v>
      </c>
      <c r="D4" s="246">
        <v>136860000</v>
      </c>
      <c r="E4" s="246">
        <v>103440000</v>
      </c>
      <c r="F4" s="246">
        <v>103440000</v>
      </c>
      <c r="G4" s="246">
        <v>110556000</v>
      </c>
      <c r="H4" s="246">
        <v>110556000</v>
      </c>
      <c r="I4" s="246">
        <v>143722800</v>
      </c>
      <c r="J4" s="246">
        <v>188958000</v>
      </c>
      <c r="K4" s="246"/>
      <c r="L4" s="246"/>
      <c r="M4" s="246"/>
      <c r="N4" s="246"/>
      <c r="O4" s="246"/>
      <c r="P4" s="246"/>
      <c r="Q4" s="246"/>
      <c r="R4" s="246"/>
    </row>
    <row r="5" spans="1:18" ht="24.95" customHeight="1">
      <c r="A5" s="392">
        <v>21101</v>
      </c>
      <c r="B5" s="246" t="s">
        <v>28</v>
      </c>
      <c r="C5" s="246">
        <v>4528000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f>188958000+10545600</f>
        <v>199503600</v>
      </c>
      <c r="L5" s="246">
        <f>shaqaalaha2011!H38+36000000+179088000</f>
        <v>504530400</v>
      </c>
      <c r="M5" s="246">
        <v>470433600</v>
      </c>
      <c r="N5" s="246">
        <v>738092160</v>
      </c>
      <c r="O5" s="246">
        <v>757598400</v>
      </c>
      <c r="P5" s="246">
        <v>806495040</v>
      </c>
      <c r="Q5" s="840">
        <v>1017450720</v>
      </c>
      <c r="R5" s="246">
        <f>Q5-P5</f>
        <v>210955680</v>
      </c>
    </row>
    <row r="6" spans="1:18" ht="24.95" customHeight="1">
      <c r="A6" s="392">
        <v>21102</v>
      </c>
      <c r="B6" s="246" t="s">
        <v>555</v>
      </c>
      <c r="C6" s="246">
        <v>10800000</v>
      </c>
      <c r="D6" s="246">
        <v>10800000</v>
      </c>
      <c r="E6" s="246">
        <v>10800000</v>
      </c>
      <c r="F6" s="246">
        <v>10800000</v>
      </c>
      <c r="G6" s="246">
        <v>14400000</v>
      </c>
      <c r="H6" s="246">
        <v>14400000</v>
      </c>
      <c r="I6" s="246">
        <v>14400000</v>
      </c>
      <c r="J6" s="246">
        <v>36000000</v>
      </c>
      <c r="K6" s="246">
        <v>0</v>
      </c>
      <c r="L6" s="246">
        <v>0</v>
      </c>
      <c r="M6" s="246">
        <v>97200000</v>
      </c>
      <c r="N6" s="246">
        <v>97200000</v>
      </c>
      <c r="O6" s="246">
        <v>97200000</v>
      </c>
      <c r="P6" s="282">
        <v>194400000</v>
      </c>
      <c r="Q6" s="852">
        <v>194400000</v>
      </c>
      <c r="R6" s="246">
        <f t="shared" ref="R6:R50" si="0">Q6-P6</f>
        <v>0</v>
      </c>
    </row>
    <row r="7" spans="1:18" ht="24.95" customHeight="1">
      <c r="A7" s="392">
        <v>21103</v>
      </c>
      <c r="B7" s="246" t="s">
        <v>30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6">
        <v>0</v>
      </c>
      <c r="K7" s="246">
        <f>31320000+720000+3960000+3600000</f>
        <v>39600000</v>
      </c>
      <c r="L7" s="246">
        <f>31320000+720000+3960000+3600000</f>
        <v>39600000</v>
      </c>
      <c r="M7" s="246">
        <v>118800000</v>
      </c>
      <c r="N7" s="246">
        <v>198000000</v>
      </c>
      <c r="O7" s="246">
        <v>198000000</v>
      </c>
      <c r="P7" s="282">
        <v>270000000</v>
      </c>
      <c r="Q7" s="852">
        <v>270000000</v>
      </c>
      <c r="R7" s="246">
        <f t="shared" si="0"/>
        <v>0</v>
      </c>
    </row>
    <row r="8" spans="1:18" ht="24.95" customHeight="1">
      <c r="A8" s="392">
        <v>21105</v>
      </c>
      <c r="B8" s="246" t="s">
        <v>585</v>
      </c>
      <c r="C8" s="246"/>
      <c r="D8" s="246"/>
      <c r="E8" s="246"/>
      <c r="F8" s="246"/>
      <c r="G8" s="246"/>
      <c r="H8" s="246"/>
      <c r="I8" s="246"/>
      <c r="J8" s="246"/>
      <c r="K8" s="246"/>
      <c r="L8" s="246">
        <v>24000000</v>
      </c>
      <c r="M8" s="246">
        <v>269000000</v>
      </c>
      <c r="N8" s="246">
        <v>269000000</v>
      </c>
      <c r="O8" s="246">
        <v>269000000</v>
      </c>
      <c r="P8" s="246">
        <v>369000000</v>
      </c>
      <c r="Q8" s="840">
        <v>369000000</v>
      </c>
      <c r="R8" s="246">
        <f t="shared" si="0"/>
        <v>0</v>
      </c>
    </row>
    <row r="9" spans="1:18" ht="24.95" customHeight="1">
      <c r="A9" s="392"/>
      <c r="B9" s="280" t="s">
        <v>92</v>
      </c>
      <c r="C9" s="246">
        <v>0</v>
      </c>
      <c r="D9" s="246">
        <v>1000000</v>
      </c>
      <c r="E9" s="246">
        <v>1000000</v>
      </c>
      <c r="F9" s="246">
        <v>1000000</v>
      </c>
      <c r="G9" s="246">
        <v>1600000</v>
      </c>
      <c r="H9" s="246">
        <v>3600000</v>
      </c>
      <c r="I9" s="246">
        <v>3426080</v>
      </c>
      <c r="J9" s="246">
        <v>7448000</v>
      </c>
      <c r="K9" s="280">
        <f>SUM(K5:K7)</f>
        <v>239103600</v>
      </c>
      <c r="L9" s="280">
        <f>L8+L7+L5+L6</f>
        <v>568130400</v>
      </c>
      <c r="M9" s="280">
        <f>SUM(M5:M8)</f>
        <v>955433600</v>
      </c>
      <c r="N9" s="280">
        <f>SUM(N5:N8)</f>
        <v>1302292160</v>
      </c>
      <c r="O9" s="280">
        <f>SUM(O5:O8)</f>
        <v>1321798400</v>
      </c>
      <c r="P9" s="280">
        <f>SUM(P5:P8)</f>
        <v>1639895040</v>
      </c>
      <c r="Q9" s="851">
        <f>SUM(Q5:Q8)</f>
        <v>1850850720</v>
      </c>
      <c r="R9" s="280">
        <f t="shared" si="0"/>
        <v>210955680</v>
      </c>
    </row>
    <row r="10" spans="1:18" ht="24.95" customHeight="1">
      <c r="A10" s="476">
        <v>220</v>
      </c>
      <c r="B10" s="280" t="s">
        <v>225</v>
      </c>
      <c r="C10" s="246"/>
      <c r="D10" s="246">
        <v>20000000</v>
      </c>
      <c r="E10" s="246">
        <v>56000000</v>
      </c>
      <c r="F10" s="246">
        <v>0</v>
      </c>
      <c r="G10" s="246">
        <v>0</v>
      </c>
      <c r="H10" s="246">
        <v>149500000</v>
      </c>
      <c r="I10" s="246">
        <v>0</v>
      </c>
      <c r="J10" s="246">
        <v>22344000</v>
      </c>
      <c r="K10" s="246"/>
      <c r="L10" s="246"/>
      <c r="M10" s="246"/>
      <c r="N10" s="246"/>
      <c r="O10" s="246"/>
      <c r="P10" s="246"/>
      <c r="Q10" s="840"/>
      <c r="R10" s="246">
        <f t="shared" si="0"/>
        <v>0</v>
      </c>
    </row>
    <row r="11" spans="1:18" ht="24.95" customHeight="1">
      <c r="A11" s="476">
        <v>2210</v>
      </c>
      <c r="B11" s="280" t="s">
        <v>226</v>
      </c>
      <c r="C11" s="246">
        <v>0</v>
      </c>
      <c r="D11" s="246">
        <v>2000000</v>
      </c>
      <c r="E11" s="246">
        <v>2000000</v>
      </c>
      <c r="F11" s="246">
        <v>1000000</v>
      </c>
      <c r="G11" s="246">
        <v>3200000</v>
      </c>
      <c r="H11" s="246">
        <v>4000000</v>
      </c>
      <c r="I11" s="246">
        <v>2979200</v>
      </c>
      <c r="J11" s="246">
        <v>3724000</v>
      </c>
      <c r="K11" s="246"/>
      <c r="L11" s="246"/>
      <c r="M11" s="246"/>
      <c r="N11" s="246"/>
      <c r="O11" s="246"/>
      <c r="P11" s="246"/>
      <c r="Q11" s="840"/>
      <c r="R11" s="246">
        <f t="shared" si="0"/>
        <v>0</v>
      </c>
    </row>
    <row r="12" spans="1:18" ht="24.95" customHeight="1">
      <c r="A12" s="392">
        <v>22101</v>
      </c>
      <c r="B12" s="246" t="s">
        <v>33</v>
      </c>
      <c r="C12" s="246"/>
      <c r="D12" s="246"/>
      <c r="E12" s="246"/>
      <c r="F12" s="246"/>
      <c r="G12" s="246"/>
      <c r="H12" s="246"/>
      <c r="I12" s="246"/>
      <c r="J12" s="246">
        <v>2979200</v>
      </c>
      <c r="K12" s="246">
        <v>11172000</v>
      </c>
      <c r="L12" s="246">
        <f>30000000*70%</f>
        <v>21000000</v>
      </c>
      <c r="M12" s="246">
        <f>30000000*70%</f>
        <v>21000000</v>
      </c>
      <c r="N12" s="246">
        <v>35000000</v>
      </c>
      <c r="O12" s="246">
        <v>35000000</v>
      </c>
      <c r="P12" s="246">
        <v>35000000</v>
      </c>
      <c r="Q12" s="840">
        <v>35000000</v>
      </c>
      <c r="R12" s="246">
        <f t="shared" si="0"/>
        <v>0</v>
      </c>
    </row>
    <row r="13" spans="1:18" ht="24.95" customHeight="1">
      <c r="A13" s="392">
        <v>22102</v>
      </c>
      <c r="B13" s="246" t="s">
        <v>381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59584000</v>
      </c>
      <c r="K13" s="246">
        <v>0</v>
      </c>
      <c r="L13" s="246">
        <f>20000000*70%</f>
        <v>14000000</v>
      </c>
      <c r="M13" s="246">
        <f>20000000*70%</f>
        <v>14000000</v>
      </c>
      <c r="N13" s="246">
        <v>0</v>
      </c>
      <c r="O13" s="246">
        <v>0</v>
      </c>
      <c r="P13" s="246">
        <v>0</v>
      </c>
      <c r="Q13" s="840">
        <v>0</v>
      </c>
      <c r="R13" s="246">
        <f t="shared" si="0"/>
        <v>0</v>
      </c>
    </row>
    <row r="14" spans="1:18" s="492" customFormat="1" ht="24.95" customHeight="1">
      <c r="A14" s="392">
        <v>22103</v>
      </c>
      <c r="B14" s="246" t="s">
        <v>920</v>
      </c>
      <c r="C14" s="246"/>
      <c r="D14" s="246"/>
      <c r="E14" s="246"/>
      <c r="F14" s="246"/>
      <c r="G14" s="246"/>
      <c r="H14" s="246"/>
      <c r="I14" s="246"/>
      <c r="J14" s="246">
        <v>280000000</v>
      </c>
      <c r="K14" s="246">
        <v>0</v>
      </c>
      <c r="L14" s="246">
        <f>300000000*70%</f>
        <v>210000000</v>
      </c>
      <c r="M14" s="246">
        <v>70000000</v>
      </c>
      <c r="N14" s="246">
        <v>180000000</v>
      </c>
      <c r="O14" s="246">
        <v>180000000</v>
      </c>
      <c r="P14" s="246">
        <v>180000000</v>
      </c>
      <c r="Q14" s="840">
        <v>180000000</v>
      </c>
      <c r="R14" s="246">
        <f t="shared" si="0"/>
        <v>0</v>
      </c>
    </row>
    <row r="15" spans="1:18" ht="24.95" customHeight="1">
      <c r="A15" s="392">
        <v>22104</v>
      </c>
      <c r="B15" s="246" t="s">
        <v>157</v>
      </c>
      <c r="C15" s="246">
        <f t="shared" ref="C15:I15" si="1">SUM(C9:C10)</f>
        <v>0</v>
      </c>
      <c r="D15" s="246">
        <f t="shared" si="1"/>
        <v>21000000</v>
      </c>
      <c r="E15" s="246">
        <f t="shared" si="1"/>
        <v>57000000</v>
      </c>
      <c r="F15" s="246">
        <f t="shared" si="1"/>
        <v>1000000</v>
      </c>
      <c r="G15" s="246">
        <f t="shared" si="1"/>
        <v>1600000</v>
      </c>
      <c r="H15" s="280">
        <f t="shared" si="1"/>
        <v>153100000</v>
      </c>
      <c r="I15" s="280">
        <f t="shared" si="1"/>
        <v>3426080</v>
      </c>
      <c r="J15" s="280">
        <f>SUM(J9:J14)</f>
        <v>376079200</v>
      </c>
      <c r="K15" s="246">
        <v>30000000</v>
      </c>
      <c r="L15" s="246">
        <f t="shared" ref="L15:Q15" si="2">30000000*70%</f>
        <v>21000000</v>
      </c>
      <c r="M15" s="246">
        <f t="shared" si="2"/>
        <v>21000000</v>
      </c>
      <c r="N15" s="246">
        <f t="shared" si="2"/>
        <v>21000000</v>
      </c>
      <c r="O15" s="246">
        <f t="shared" si="2"/>
        <v>21000000</v>
      </c>
      <c r="P15" s="246">
        <f t="shared" si="2"/>
        <v>21000000</v>
      </c>
      <c r="Q15" s="840">
        <f t="shared" si="2"/>
        <v>21000000</v>
      </c>
      <c r="R15" s="246">
        <f t="shared" si="0"/>
        <v>0</v>
      </c>
    </row>
    <row r="16" spans="1:18" ht="24.95" customHeight="1">
      <c r="A16" s="392">
        <v>22105</v>
      </c>
      <c r="B16" s="246" t="s">
        <v>135</v>
      </c>
      <c r="C16" s="246">
        <v>0</v>
      </c>
      <c r="D16" s="246">
        <v>6000000</v>
      </c>
      <c r="E16" s="246">
        <v>8000000</v>
      </c>
      <c r="F16" s="246">
        <v>16000000</v>
      </c>
      <c r="G16" s="246">
        <v>20217600</v>
      </c>
      <c r="H16" s="246">
        <v>25272000</v>
      </c>
      <c r="I16" s="246">
        <v>37442586</v>
      </c>
      <c r="J16" s="246"/>
      <c r="K16" s="246">
        <v>0</v>
      </c>
      <c r="L16" s="246">
        <f t="shared" ref="L16:Q16" si="3">31500000*70%</f>
        <v>22050000</v>
      </c>
      <c r="M16" s="246">
        <f t="shared" si="3"/>
        <v>22050000</v>
      </c>
      <c r="N16" s="246">
        <f t="shared" si="3"/>
        <v>22050000</v>
      </c>
      <c r="O16" s="246">
        <f t="shared" si="3"/>
        <v>22050000</v>
      </c>
      <c r="P16" s="246">
        <f t="shared" si="3"/>
        <v>22050000</v>
      </c>
      <c r="Q16" s="840">
        <f t="shared" si="3"/>
        <v>22050000</v>
      </c>
      <c r="R16" s="246">
        <f t="shared" si="0"/>
        <v>0</v>
      </c>
    </row>
    <row r="17" spans="1:18" ht="24.95" customHeight="1">
      <c r="A17" s="392">
        <v>22106</v>
      </c>
      <c r="B17" s="246" t="s">
        <v>897</v>
      </c>
      <c r="C17" s="246">
        <v>12000000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f>7000000*70%</f>
        <v>4900000</v>
      </c>
      <c r="M17" s="246">
        <v>0</v>
      </c>
      <c r="N17" s="246">
        <v>30000000</v>
      </c>
      <c r="O17" s="246">
        <v>30000000</v>
      </c>
      <c r="P17" s="246">
        <v>30000000</v>
      </c>
      <c r="Q17" s="840">
        <v>60000000</v>
      </c>
      <c r="R17" s="246">
        <f t="shared" si="0"/>
        <v>30000000</v>
      </c>
    </row>
    <row r="18" spans="1:18" ht="24.95" customHeight="1">
      <c r="A18" s="392">
        <v>22107</v>
      </c>
      <c r="B18" s="246" t="s">
        <v>48</v>
      </c>
      <c r="C18" s="246">
        <v>7000000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55272000</v>
      </c>
      <c r="K18" s="246">
        <v>32344000</v>
      </c>
      <c r="L18" s="246">
        <f>28000000*70%</f>
        <v>19600000</v>
      </c>
      <c r="M18" s="246">
        <v>13720000</v>
      </c>
      <c r="N18" s="246">
        <f>M18</f>
        <v>13720000</v>
      </c>
      <c r="O18" s="246">
        <f>N18</f>
        <v>13720000</v>
      </c>
      <c r="P18" s="246">
        <f>O18</f>
        <v>13720000</v>
      </c>
      <c r="Q18" s="840">
        <v>43000000</v>
      </c>
      <c r="R18" s="246">
        <f t="shared" si="0"/>
        <v>29280000</v>
      </c>
    </row>
    <row r="19" spans="1:18" ht="24.95" customHeight="1">
      <c r="A19" s="392">
        <v>22109</v>
      </c>
      <c r="B19" s="246" t="s">
        <v>136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3426080</v>
      </c>
      <c r="K19" s="246">
        <v>13724000</v>
      </c>
      <c r="L19" s="246">
        <f t="shared" ref="L19:Q19" si="4">20000000*70%</f>
        <v>14000000</v>
      </c>
      <c r="M19" s="246">
        <f t="shared" si="4"/>
        <v>14000000</v>
      </c>
      <c r="N19" s="246">
        <f t="shared" si="4"/>
        <v>14000000</v>
      </c>
      <c r="O19" s="246">
        <f t="shared" si="4"/>
        <v>14000000</v>
      </c>
      <c r="P19" s="246">
        <f t="shared" si="4"/>
        <v>14000000</v>
      </c>
      <c r="Q19" s="840">
        <f t="shared" si="4"/>
        <v>14000000</v>
      </c>
      <c r="R19" s="246">
        <f t="shared" si="0"/>
        <v>0</v>
      </c>
    </row>
    <row r="20" spans="1:18" ht="24.95" customHeight="1">
      <c r="A20" s="392">
        <v>22112</v>
      </c>
      <c r="B20" s="246" t="s">
        <v>35</v>
      </c>
      <c r="C20" s="246">
        <v>5000000</v>
      </c>
      <c r="D20" s="246">
        <v>5000000</v>
      </c>
      <c r="E20" s="246">
        <v>5000000</v>
      </c>
      <c r="F20" s="246">
        <v>5000000</v>
      </c>
      <c r="G20" s="246">
        <v>8000000</v>
      </c>
      <c r="H20" s="246">
        <v>10000000</v>
      </c>
      <c r="I20" s="246">
        <v>18620000</v>
      </c>
      <c r="J20" s="280">
        <f>SUM(J17:J19)</f>
        <v>58698080</v>
      </c>
      <c r="K20" s="246">
        <v>2979200</v>
      </c>
      <c r="L20" s="246">
        <f>210000000*70%</f>
        <v>147000000</v>
      </c>
      <c r="M20" s="246">
        <f>210000000*70%</f>
        <v>147000000</v>
      </c>
      <c r="N20" s="246">
        <v>177000000</v>
      </c>
      <c r="O20" s="246">
        <v>177000000</v>
      </c>
      <c r="P20" s="246">
        <v>177000000</v>
      </c>
      <c r="Q20" s="840">
        <v>177000000</v>
      </c>
      <c r="R20" s="246">
        <f t="shared" si="0"/>
        <v>0</v>
      </c>
    </row>
    <row r="21" spans="1:18" ht="24.95" customHeight="1">
      <c r="A21" s="392">
        <v>22112</v>
      </c>
      <c r="B21" s="246" t="s">
        <v>861</v>
      </c>
      <c r="C21" s="246"/>
      <c r="D21" s="246"/>
      <c r="E21" s="246"/>
      <c r="F21" s="246"/>
      <c r="G21" s="246"/>
      <c r="H21" s="246"/>
      <c r="I21" s="246"/>
      <c r="J21" s="280"/>
      <c r="K21" s="246"/>
      <c r="L21" s="246">
        <v>0</v>
      </c>
      <c r="M21" s="246">
        <v>196000000</v>
      </c>
      <c r="N21" s="246">
        <v>246000000</v>
      </c>
      <c r="O21" s="246">
        <v>246000000</v>
      </c>
      <c r="P21" s="246">
        <v>246000000</v>
      </c>
      <c r="Q21" s="840">
        <v>510000000</v>
      </c>
      <c r="R21" s="246">
        <f t="shared" si="0"/>
        <v>264000000</v>
      </c>
    </row>
    <row r="22" spans="1:18" ht="24.95" customHeight="1">
      <c r="A22" s="392">
        <v>22123</v>
      </c>
      <c r="B22" s="246" t="s">
        <v>271</v>
      </c>
      <c r="C22" s="246"/>
      <c r="D22" s="246"/>
      <c r="E22" s="246"/>
      <c r="F22" s="246"/>
      <c r="G22" s="246"/>
      <c r="H22" s="246"/>
      <c r="I22" s="246"/>
      <c r="J22" s="280"/>
      <c r="K22" s="246">
        <v>92311305</v>
      </c>
      <c r="L22" s="246">
        <f>150000000*70%</f>
        <v>105000000</v>
      </c>
      <c r="M22" s="246">
        <v>165000000</v>
      </c>
      <c r="N22" s="246">
        <v>205000000</v>
      </c>
      <c r="O22" s="246">
        <v>205000000</v>
      </c>
      <c r="P22" s="246">
        <v>205000000</v>
      </c>
      <c r="Q22" s="840">
        <v>300000000</v>
      </c>
      <c r="R22" s="246">
        <f t="shared" si="0"/>
        <v>95000000</v>
      </c>
    </row>
    <row r="23" spans="1:18" ht="24.95" customHeight="1">
      <c r="A23" s="392">
        <v>22137</v>
      </c>
      <c r="B23" s="246" t="s">
        <v>1359</v>
      </c>
      <c r="C23" s="246"/>
      <c r="D23" s="246"/>
      <c r="E23" s="246"/>
      <c r="F23" s="246"/>
      <c r="G23" s="246"/>
      <c r="H23" s="246"/>
      <c r="I23" s="246"/>
      <c r="J23" s="280"/>
      <c r="K23" s="246"/>
      <c r="L23" s="246"/>
      <c r="M23" s="246"/>
      <c r="N23" s="246">
        <v>47000000</v>
      </c>
      <c r="O23" s="246">
        <v>47000000</v>
      </c>
      <c r="P23" s="246">
        <v>47000000</v>
      </c>
      <c r="Q23" s="840">
        <v>197000000</v>
      </c>
      <c r="R23" s="246">
        <f t="shared" si="0"/>
        <v>150000000</v>
      </c>
    </row>
    <row r="24" spans="1:18" ht="24.95" customHeight="1">
      <c r="A24" s="392">
        <v>22146</v>
      </c>
      <c r="B24" s="246" t="s">
        <v>891</v>
      </c>
      <c r="C24" s="280">
        <f t="shared" ref="C24:I24" si="5">SUM(C15:C20)</f>
        <v>24000000</v>
      </c>
      <c r="D24" s="280">
        <f t="shared" si="5"/>
        <v>32000000</v>
      </c>
      <c r="E24" s="280">
        <f t="shared" si="5"/>
        <v>70000000</v>
      </c>
      <c r="F24" s="280">
        <f t="shared" si="5"/>
        <v>22000000</v>
      </c>
      <c r="G24" s="280">
        <f t="shared" si="5"/>
        <v>29817600</v>
      </c>
      <c r="H24" s="280">
        <f t="shared" si="5"/>
        <v>188372000</v>
      </c>
      <c r="I24" s="280">
        <f t="shared" si="5"/>
        <v>59488666</v>
      </c>
      <c r="J24" s="280">
        <v>0</v>
      </c>
      <c r="K24" s="246">
        <v>330000000</v>
      </c>
      <c r="L24" s="246">
        <f>350000000*70%</f>
        <v>244999999.99999997</v>
      </c>
      <c r="M24" s="246">
        <v>0</v>
      </c>
      <c r="N24" s="246">
        <v>300000000</v>
      </c>
      <c r="O24" s="246">
        <v>300000000</v>
      </c>
      <c r="P24" s="246">
        <v>300000000</v>
      </c>
      <c r="Q24" s="840">
        <v>300000000</v>
      </c>
      <c r="R24" s="246">
        <f t="shared" si="0"/>
        <v>0</v>
      </c>
    </row>
    <row r="25" spans="1:18" ht="24.95" customHeight="1">
      <c r="A25" s="392"/>
      <c r="B25" s="280" t="s">
        <v>92</v>
      </c>
      <c r="C25" s="292"/>
      <c r="D25" s="274">
        <v>0</v>
      </c>
      <c r="E25" s="274"/>
      <c r="F25" s="274"/>
      <c r="G25" s="274"/>
      <c r="H25" s="274"/>
      <c r="I25" s="274"/>
      <c r="J25" s="279">
        <f>SUM(J24:J24)</f>
        <v>0</v>
      </c>
      <c r="K25" s="279">
        <f>SUM(K12:K24)</f>
        <v>512530505</v>
      </c>
      <c r="L25" s="279">
        <f>SUM(L12:L24)</f>
        <v>823550000</v>
      </c>
      <c r="M25" s="279">
        <f>SUM(M12:M23)</f>
        <v>683770000</v>
      </c>
      <c r="N25" s="279">
        <f>SUM(N12:N24)</f>
        <v>1290770000</v>
      </c>
      <c r="O25" s="279">
        <f>SUM(O12:O24)</f>
        <v>1290770000</v>
      </c>
      <c r="P25" s="279">
        <f>SUM(P12:P24)</f>
        <v>1290770000</v>
      </c>
      <c r="Q25" s="850">
        <f>SUM(Q12:Q24)</f>
        <v>1859050000</v>
      </c>
      <c r="R25" s="280">
        <f t="shared" si="0"/>
        <v>568280000</v>
      </c>
    </row>
    <row r="26" spans="1:18" ht="24.95" customHeight="1">
      <c r="A26" s="476">
        <v>2220</v>
      </c>
      <c r="B26" s="280" t="s">
        <v>240</v>
      </c>
      <c r="C26" s="292"/>
      <c r="D26" s="274">
        <v>0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853"/>
      <c r="R26" s="246">
        <f t="shared" si="0"/>
        <v>0</v>
      </c>
    </row>
    <row r="27" spans="1:18" ht="24.95" customHeight="1">
      <c r="A27" s="392">
        <v>22201</v>
      </c>
      <c r="B27" s="246" t="s">
        <v>132</v>
      </c>
      <c r="C27" s="292"/>
      <c r="D27" s="292"/>
      <c r="E27" s="292"/>
      <c r="F27" s="292"/>
      <c r="G27" s="292"/>
      <c r="H27" s="292"/>
      <c r="I27" s="292"/>
      <c r="J27" s="290">
        <v>5958400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853">
        <v>0</v>
      </c>
      <c r="R27" s="246">
        <f t="shared" si="0"/>
        <v>0</v>
      </c>
    </row>
    <row r="28" spans="1:18" ht="24.95" customHeight="1">
      <c r="A28" s="392">
        <v>22202</v>
      </c>
      <c r="B28" s="246" t="s">
        <v>133</v>
      </c>
      <c r="C28" s="292"/>
      <c r="D28" s="292"/>
      <c r="E28" s="292"/>
      <c r="F28" s="292"/>
      <c r="G28" s="292"/>
      <c r="H28" s="292"/>
      <c r="I28" s="292"/>
      <c r="J28" s="246">
        <v>0</v>
      </c>
      <c r="K28" s="246">
        <v>90000000</v>
      </c>
      <c r="L28" s="246">
        <f>150000000*70%</f>
        <v>105000000</v>
      </c>
      <c r="M28" s="246">
        <v>84000000</v>
      </c>
      <c r="N28" s="246">
        <v>124000000</v>
      </c>
      <c r="O28" s="246">
        <v>148000000</v>
      </c>
      <c r="P28" s="246">
        <v>298000000</v>
      </c>
      <c r="Q28" s="840">
        <v>348000000</v>
      </c>
      <c r="R28" s="246">
        <f t="shared" si="0"/>
        <v>50000000</v>
      </c>
    </row>
    <row r="29" spans="1:18" ht="24.95" customHeight="1">
      <c r="A29" s="392">
        <v>22203</v>
      </c>
      <c r="B29" s="246" t="s">
        <v>127</v>
      </c>
      <c r="C29" s="292"/>
      <c r="D29" s="292"/>
      <c r="E29" s="292"/>
      <c r="F29" s="292"/>
      <c r="G29" s="292"/>
      <c r="H29" s="292"/>
      <c r="I29" s="292"/>
      <c r="J29" s="290">
        <v>3724000</v>
      </c>
      <c r="K29" s="246">
        <v>4468800</v>
      </c>
      <c r="L29" s="246">
        <f t="shared" ref="L29:Q29" si="6">25000000*70%</f>
        <v>17500000</v>
      </c>
      <c r="M29" s="246">
        <f t="shared" si="6"/>
        <v>17500000</v>
      </c>
      <c r="N29" s="246">
        <f t="shared" si="6"/>
        <v>17500000</v>
      </c>
      <c r="O29" s="246">
        <f t="shared" si="6"/>
        <v>17500000</v>
      </c>
      <c r="P29" s="246">
        <f t="shared" si="6"/>
        <v>17500000</v>
      </c>
      <c r="Q29" s="840">
        <f t="shared" si="6"/>
        <v>17500000</v>
      </c>
      <c r="R29" s="246">
        <f t="shared" si="0"/>
        <v>0</v>
      </c>
    </row>
    <row r="30" spans="1:18" ht="24.95" customHeight="1">
      <c r="A30" s="392">
        <v>22204</v>
      </c>
      <c r="B30" s="246" t="s">
        <v>128</v>
      </c>
      <c r="C30" s="246">
        <f t="shared" ref="C30:H30" si="7">SUM(C26:C29)</f>
        <v>0</v>
      </c>
      <c r="D30" s="246">
        <f t="shared" si="7"/>
        <v>0</v>
      </c>
      <c r="E30" s="246">
        <f t="shared" si="7"/>
        <v>0</v>
      </c>
      <c r="F30" s="246">
        <f t="shared" si="7"/>
        <v>0</v>
      </c>
      <c r="G30" s="246">
        <f t="shared" si="7"/>
        <v>0</v>
      </c>
      <c r="H30" s="280">
        <f t="shared" si="7"/>
        <v>0</v>
      </c>
      <c r="I30" s="280">
        <f>SUM(I25:I29)</f>
        <v>0</v>
      </c>
      <c r="J30" s="280">
        <f>SUM(J27:J29)</f>
        <v>9682400</v>
      </c>
      <c r="K30" s="246">
        <v>3426080</v>
      </c>
      <c r="L30" s="246">
        <f t="shared" ref="L30:Q30" si="8">5000000*70%</f>
        <v>3500000</v>
      </c>
      <c r="M30" s="246">
        <f t="shared" si="8"/>
        <v>3500000</v>
      </c>
      <c r="N30" s="246">
        <f t="shared" si="8"/>
        <v>3500000</v>
      </c>
      <c r="O30" s="246">
        <f t="shared" si="8"/>
        <v>3500000</v>
      </c>
      <c r="P30" s="246">
        <f t="shared" si="8"/>
        <v>3500000</v>
      </c>
      <c r="Q30" s="840">
        <f t="shared" si="8"/>
        <v>3500000</v>
      </c>
      <c r="R30" s="246">
        <f t="shared" si="0"/>
        <v>0</v>
      </c>
    </row>
    <row r="31" spans="1:18" ht="24.95" customHeight="1">
      <c r="A31" s="392"/>
      <c r="B31" s="280" t="s">
        <v>92</v>
      </c>
      <c r="C31" s="246"/>
      <c r="D31" s="246"/>
      <c r="E31" s="246"/>
      <c r="F31" s="246"/>
      <c r="G31" s="246"/>
      <c r="H31" s="246"/>
      <c r="I31" s="246"/>
      <c r="J31" s="246"/>
      <c r="K31" s="280">
        <f t="shared" ref="K31:N31" si="9">SUM(K27:K30)</f>
        <v>97894880</v>
      </c>
      <c r="L31" s="280">
        <f t="shared" si="9"/>
        <v>126000000</v>
      </c>
      <c r="M31" s="280">
        <f t="shared" si="9"/>
        <v>105000000</v>
      </c>
      <c r="N31" s="280">
        <f t="shared" si="9"/>
        <v>145000000</v>
      </c>
      <c r="O31" s="280">
        <f>SUM(O27:O30)</f>
        <v>169000000</v>
      </c>
      <c r="P31" s="280">
        <f>SUM(P27:P30)</f>
        <v>319000000</v>
      </c>
      <c r="Q31" s="851">
        <f>SUM(Q27:Q30)</f>
        <v>369000000</v>
      </c>
      <c r="R31" s="280">
        <f t="shared" si="0"/>
        <v>50000000</v>
      </c>
    </row>
    <row r="32" spans="1:18" ht="24.95" customHeight="1">
      <c r="A32" s="476">
        <v>2230</v>
      </c>
      <c r="B32" s="280" t="s">
        <v>130</v>
      </c>
      <c r="C32" s="246"/>
      <c r="D32" s="246"/>
      <c r="E32" s="246"/>
      <c r="F32" s="246">
        <f>1386274192-71600000-798000-176160000-12600000</f>
        <v>1125116192</v>
      </c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840"/>
      <c r="R32" s="246">
        <f t="shared" si="0"/>
        <v>0</v>
      </c>
    </row>
    <row r="33" spans="1:18" ht="24.95" customHeight="1">
      <c r="A33" s="392">
        <v>22301</v>
      </c>
      <c r="B33" s="246" t="s">
        <v>49</v>
      </c>
      <c r="C33" s="246"/>
      <c r="D33" s="246"/>
      <c r="E33" s="246"/>
      <c r="F33" s="246"/>
      <c r="G33" s="246"/>
      <c r="H33" s="246"/>
      <c r="I33" s="246"/>
      <c r="J33" s="246"/>
      <c r="K33" s="246">
        <v>15000000</v>
      </c>
      <c r="L33" s="246">
        <f>15000000*70%</f>
        <v>10500000</v>
      </c>
      <c r="M33" s="246">
        <f>15000000*70%</f>
        <v>10500000</v>
      </c>
      <c r="N33" s="246">
        <f>15000000*70%</f>
        <v>10500000</v>
      </c>
      <c r="O33" s="246">
        <v>30500000</v>
      </c>
      <c r="P33" s="246">
        <v>50500000</v>
      </c>
      <c r="Q33" s="840">
        <v>50500000</v>
      </c>
      <c r="R33" s="246">
        <f t="shared" si="0"/>
        <v>0</v>
      </c>
    </row>
    <row r="34" spans="1:18" ht="24.95" customHeight="1">
      <c r="A34" s="392">
        <v>22313</v>
      </c>
      <c r="B34" s="246" t="s">
        <v>1263</v>
      </c>
      <c r="C34" s="246"/>
      <c r="D34" s="246"/>
      <c r="E34" s="246"/>
      <c r="F34" s="246"/>
      <c r="G34" s="246"/>
      <c r="H34" s="246"/>
      <c r="I34" s="246"/>
      <c r="J34" s="246"/>
      <c r="K34" s="246">
        <v>0</v>
      </c>
      <c r="L34" s="246">
        <f>280000000*70%</f>
        <v>196000000</v>
      </c>
      <c r="M34" s="246">
        <v>50000000</v>
      </c>
      <c r="N34" s="246">
        <v>50000000</v>
      </c>
      <c r="O34" s="246">
        <v>50000000</v>
      </c>
      <c r="P34" s="246">
        <v>100000000</v>
      </c>
      <c r="Q34" s="840">
        <v>200000000</v>
      </c>
      <c r="R34" s="246">
        <f t="shared" si="0"/>
        <v>100000000</v>
      </c>
    </row>
    <row r="35" spans="1:18" ht="24.95" customHeight="1">
      <c r="A35" s="392">
        <v>22302</v>
      </c>
      <c r="B35" s="246" t="s">
        <v>249</v>
      </c>
      <c r="C35" s="246"/>
      <c r="D35" s="246"/>
      <c r="E35" s="246"/>
      <c r="F35" s="246"/>
      <c r="G35" s="246"/>
      <c r="H35" s="246"/>
      <c r="I35" s="246"/>
      <c r="J35" s="246"/>
      <c r="K35" s="246">
        <v>0</v>
      </c>
      <c r="L35" s="246">
        <f t="shared" ref="L35:Q35" si="10">15000000*70%</f>
        <v>10500000</v>
      </c>
      <c r="M35" s="246">
        <f t="shared" si="10"/>
        <v>10500000</v>
      </c>
      <c r="N35" s="246">
        <f t="shared" si="10"/>
        <v>10500000</v>
      </c>
      <c r="O35" s="246">
        <f t="shared" si="10"/>
        <v>10500000</v>
      </c>
      <c r="P35" s="246">
        <f t="shared" si="10"/>
        <v>10500000</v>
      </c>
      <c r="Q35" s="840">
        <f t="shared" si="10"/>
        <v>10500000</v>
      </c>
      <c r="R35" s="246">
        <f t="shared" si="0"/>
        <v>0</v>
      </c>
    </row>
    <row r="36" spans="1:18" ht="24.95" customHeight="1">
      <c r="A36" s="392">
        <v>22313</v>
      </c>
      <c r="B36" s="246" t="s">
        <v>251</v>
      </c>
      <c r="C36" s="246"/>
      <c r="D36" s="246"/>
      <c r="E36" s="246"/>
      <c r="F36" s="246"/>
      <c r="G36" s="246"/>
      <c r="H36" s="246"/>
      <c r="I36" s="246"/>
      <c r="J36" s="246"/>
      <c r="K36" s="246">
        <v>3724000</v>
      </c>
      <c r="L36" s="246">
        <f t="shared" ref="L36:Q36" si="11">3724000*70%</f>
        <v>2606800</v>
      </c>
      <c r="M36" s="246">
        <f t="shared" si="11"/>
        <v>2606800</v>
      </c>
      <c r="N36" s="246">
        <f t="shared" si="11"/>
        <v>2606800</v>
      </c>
      <c r="O36" s="246">
        <f t="shared" si="11"/>
        <v>2606800</v>
      </c>
      <c r="P36" s="246">
        <f t="shared" si="11"/>
        <v>2606800</v>
      </c>
      <c r="Q36" s="840">
        <f t="shared" si="11"/>
        <v>2606800</v>
      </c>
      <c r="R36" s="246">
        <f t="shared" si="0"/>
        <v>0</v>
      </c>
    </row>
    <row r="37" spans="1:18" ht="24.95" customHeight="1">
      <c r="A37" s="392"/>
      <c r="B37" s="280" t="s">
        <v>92</v>
      </c>
      <c r="C37" s="246"/>
      <c r="D37" s="246"/>
      <c r="E37" s="246"/>
      <c r="F37" s="246"/>
      <c r="G37" s="246"/>
      <c r="H37" s="246"/>
      <c r="I37" s="246"/>
      <c r="J37" s="246"/>
      <c r="K37" s="280">
        <f t="shared" ref="K37:N37" si="12">SUM(K33:K36)</f>
        <v>18724000</v>
      </c>
      <c r="L37" s="280">
        <f t="shared" si="12"/>
        <v>219606800</v>
      </c>
      <c r="M37" s="280">
        <f t="shared" si="12"/>
        <v>73606800</v>
      </c>
      <c r="N37" s="280">
        <f t="shared" si="12"/>
        <v>73606800</v>
      </c>
      <c r="O37" s="280">
        <f>SUM(O33:O36)</f>
        <v>93606800</v>
      </c>
      <c r="P37" s="280">
        <f>SUM(P33:P36)</f>
        <v>163606800</v>
      </c>
      <c r="Q37" s="851">
        <f>SUM(Q33:Q36)</f>
        <v>263606800</v>
      </c>
      <c r="R37" s="280">
        <f t="shared" si="0"/>
        <v>100000000</v>
      </c>
    </row>
    <row r="38" spans="1:18" ht="24.95" customHeight="1">
      <c r="A38" s="476">
        <v>270</v>
      </c>
      <c r="B38" s="280" t="s">
        <v>253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840"/>
      <c r="R38" s="246">
        <f t="shared" si="0"/>
        <v>0</v>
      </c>
    </row>
    <row r="39" spans="1:18" ht="24.95" customHeight="1">
      <c r="A39" s="476">
        <v>2710</v>
      </c>
      <c r="B39" s="280" t="s">
        <v>252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840"/>
      <c r="R39" s="246">
        <f t="shared" si="0"/>
        <v>0</v>
      </c>
    </row>
    <row r="40" spans="1:18" ht="24.95" customHeight="1">
      <c r="A40" s="476">
        <v>27601</v>
      </c>
      <c r="B40" s="246" t="s">
        <v>818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>
        <v>240000000</v>
      </c>
      <c r="Q40" s="840">
        <v>150000000</v>
      </c>
      <c r="R40" s="246">
        <f t="shared" si="0"/>
        <v>-90000000</v>
      </c>
    </row>
    <row r="41" spans="1:18" ht="24.95" customHeight="1">
      <c r="A41" s="392">
        <v>27502</v>
      </c>
      <c r="B41" s="246" t="s">
        <v>148</v>
      </c>
      <c r="C41" s="246"/>
      <c r="D41" s="246"/>
      <c r="E41" s="246"/>
      <c r="F41" s="246"/>
      <c r="G41" s="246"/>
      <c r="H41" s="246"/>
      <c r="I41" s="246"/>
      <c r="J41" s="246"/>
      <c r="K41" s="246">
        <v>1489600</v>
      </c>
      <c r="L41" s="246">
        <v>1489600</v>
      </c>
      <c r="M41" s="246">
        <v>0</v>
      </c>
      <c r="N41" s="246">
        <v>0</v>
      </c>
      <c r="O41" s="246">
        <v>0</v>
      </c>
      <c r="P41" s="246">
        <v>0</v>
      </c>
      <c r="Q41" s="840">
        <v>0</v>
      </c>
      <c r="R41" s="246">
        <f t="shared" si="0"/>
        <v>0</v>
      </c>
    </row>
    <row r="42" spans="1:18" ht="24.95" customHeight="1">
      <c r="A42" s="392">
        <v>27402</v>
      </c>
      <c r="B42" s="246" t="s">
        <v>382</v>
      </c>
      <c r="C42" s="246"/>
      <c r="D42" s="246"/>
      <c r="E42" s="246"/>
      <c r="F42" s="246"/>
      <c r="G42" s="246"/>
      <c r="H42" s="246"/>
      <c r="I42" s="246"/>
      <c r="J42" s="246"/>
      <c r="K42" s="246">
        <v>0</v>
      </c>
      <c r="L42" s="246">
        <f>100000000*70%</f>
        <v>70000000</v>
      </c>
      <c r="M42" s="246">
        <v>0</v>
      </c>
      <c r="N42" s="246">
        <v>162000000</v>
      </c>
      <c r="O42" s="246">
        <v>0</v>
      </c>
      <c r="P42" s="246">
        <v>150000000</v>
      </c>
      <c r="Q42" s="840">
        <v>150000000</v>
      </c>
      <c r="R42" s="246">
        <f t="shared" si="0"/>
        <v>0</v>
      </c>
    </row>
    <row r="43" spans="1:18" ht="24.95" customHeight="1">
      <c r="A43" s="392"/>
      <c r="B43" s="280" t="s">
        <v>92</v>
      </c>
      <c r="C43" s="246"/>
      <c r="D43" s="246"/>
      <c r="E43" s="246"/>
      <c r="F43" s="246"/>
      <c r="G43" s="246"/>
      <c r="H43" s="246"/>
      <c r="I43" s="246"/>
      <c r="J43" s="246"/>
      <c r="K43" s="280">
        <f t="shared" ref="K43:N43" si="13">SUM(K41:K42)</f>
        <v>1489600</v>
      </c>
      <c r="L43" s="280">
        <f t="shared" si="13"/>
        <v>71489600</v>
      </c>
      <c r="M43" s="280">
        <f t="shared" si="13"/>
        <v>0</v>
      </c>
      <c r="N43" s="280">
        <f t="shared" si="13"/>
        <v>162000000</v>
      </c>
      <c r="O43" s="280">
        <f>SUM(O41:O42)</f>
        <v>0</v>
      </c>
      <c r="P43" s="280">
        <f>SUM(P40:P42)</f>
        <v>390000000</v>
      </c>
      <c r="Q43" s="851">
        <f>SUM(Q40:Q42)</f>
        <v>300000000</v>
      </c>
      <c r="R43" s="280">
        <f t="shared" si="0"/>
        <v>-90000000</v>
      </c>
    </row>
    <row r="44" spans="1:18" ht="24.95" customHeight="1">
      <c r="A44" s="476">
        <v>2720</v>
      </c>
      <c r="B44" s="280" t="s">
        <v>383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840"/>
      <c r="R44" s="246">
        <f t="shared" si="0"/>
        <v>0</v>
      </c>
    </row>
    <row r="45" spans="1:18" ht="24.95" customHeight="1">
      <c r="A45" s="392">
        <v>27202</v>
      </c>
      <c r="B45" s="246" t="s">
        <v>1392</v>
      </c>
      <c r="C45" s="246"/>
      <c r="D45" s="246"/>
      <c r="E45" s="246"/>
      <c r="F45" s="246"/>
      <c r="G45" s="246"/>
      <c r="H45" s="246"/>
      <c r="I45" s="246"/>
      <c r="J45" s="246"/>
      <c r="K45" s="246">
        <v>0</v>
      </c>
      <c r="L45" s="246">
        <f>320000000*70%</f>
        <v>224000000</v>
      </c>
      <c r="M45" s="246">
        <v>0</v>
      </c>
      <c r="N45" s="246">
        <v>120000000</v>
      </c>
      <c r="O45" s="246">
        <v>0</v>
      </c>
      <c r="P45" s="246">
        <v>1044000000</v>
      </c>
      <c r="Q45" s="840">
        <v>1200000000</v>
      </c>
      <c r="R45" s="246">
        <f t="shared" si="0"/>
        <v>156000000</v>
      </c>
    </row>
    <row r="46" spans="1:18" ht="24.95" customHeight="1">
      <c r="A46" s="392"/>
      <c r="B46" s="280" t="s">
        <v>92</v>
      </c>
      <c r="C46" s="246"/>
      <c r="D46" s="246"/>
      <c r="E46" s="246"/>
      <c r="F46" s="246"/>
      <c r="G46" s="246"/>
      <c r="H46" s="246"/>
      <c r="I46" s="246"/>
      <c r="J46" s="246"/>
      <c r="K46" s="280">
        <f>SUM(K45:K45)</f>
        <v>0</v>
      </c>
      <c r="L46" s="280" t="e">
        <f>#REF!+L45</f>
        <v>#REF!</v>
      </c>
      <c r="M46" s="280">
        <f>SUM(M45:M45)</f>
        <v>0</v>
      </c>
      <c r="N46" s="280">
        <f>SUM(N45:N45)</f>
        <v>120000000</v>
      </c>
      <c r="O46" s="280">
        <f>SUM(O45:O45)</f>
        <v>0</v>
      </c>
      <c r="P46" s="280">
        <f>SUM(P45:P45)</f>
        <v>1044000000</v>
      </c>
      <c r="Q46" s="851">
        <f>SUM(Q45:Q45)</f>
        <v>1200000000</v>
      </c>
      <c r="R46" s="280">
        <f t="shared" si="0"/>
        <v>156000000</v>
      </c>
    </row>
    <row r="47" spans="1:18" ht="24.95" customHeight="1">
      <c r="A47" s="476">
        <v>2810</v>
      </c>
      <c r="B47" s="280" t="s">
        <v>1376</v>
      </c>
      <c r="C47" s="246"/>
      <c r="D47" s="246"/>
      <c r="E47" s="246"/>
      <c r="F47" s="246"/>
      <c r="G47" s="246"/>
      <c r="H47" s="246"/>
      <c r="I47" s="246"/>
      <c r="J47" s="246"/>
      <c r="K47" s="280"/>
      <c r="L47" s="280"/>
      <c r="M47" s="280"/>
      <c r="N47" s="280"/>
      <c r="O47" s="280"/>
      <c r="P47" s="280"/>
      <c r="Q47" s="851"/>
      <c r="R47" s="246">
        <f t="shared" si="0"/>
        <v>0</v>
      </c>
    </row>
    <row r="48" spans="1:18" ht="24.95" customHeight="1">
      <c r="A48" s="392">
        <v>28102</v>
      </c>
      <c r="B48" s="246" t="s">
        <v>509</v>
      </c>
      <c r="C48" s="246"/>
      <c r="D48" s="246"/>
      <c r="E48" s="246"/>
      <c r="F48" s="246"/>
      <c r="G48" s="246"/>
      <c r="H48" s="246"/>
      <c r="I48" s="246"/>
      <c r="J48" s="246"/>
      <c r="K48" s="280"/>
      <c r="L48" s="280"/>
      <c r="M48" s="280"/>
      <c r="N48" s="280"/>
      <c r="O48" s="280"/>
      <c r="P48" s="280"/>
      <c r="Q48" s="840">
        <v>137778000</v>
      </c>
      <c r="R48" s="246">
        <f t="shared" si="0"/>
        <v>137778000</v>
      </c>
    </row>
    <row r="49" spans="1:18" ht="24.95" customHeight="1">
      <c r="A49" s="392"/>
      <c r="B49" s="280" t="s">
        <v>92</v>
      </c>
      <c r="C49" s="246"/>
      <c r="D49" s="246"/>
      <c r="E49" s="246"/>
      <c r="F49" s="246"/>
      <c r="G49" s="246"/>
      <c r="H49" s="246"/>
      <c r="I49" s="246"/>
      <c r="J49" s="246"/>
      <c r="K49" s="280"/>
      <c r="L49" s="280"/>
      <c r="M49" s="280"/>
      <c r="N49" s="280"/>
      <c r="O49" s="280"/>
      <c r="P49" s="280"/>
      <c r="Q49" s="851">
        <f>SUM(Q48)</f>
        <v>137778000</v>
      </c>
      <c r="R49" s="280">
        <f t="shared" si="0"/>
        <v>137778000</v>
      </c>
    </row>
    <row r="50" spans="1:18" ht="24.95" customHeight="1">
      <c r="A50" s="392"/>
      <c r="B50" s="280" t="s">
        <v>37</v>
      </c>
      <c r="C50" s="246"/>
      <c r="D50" s="246"/>
      <c r="E50" s="246"/>
      <c r="F50" s="246"/>
      <c r="G50" s="246"/>
      <c r="H50" s="246"/>
      <c r="I50" s="246"/>
      <c r="J50" s="246"/>
      <c r="K50" s="280">
        <f>K43+K37+K31+K25+K9</f>
        <v>869742585</v>
      </c>
      <c r="L50" s="280" t="e">
        <f>SUM(L9+L25+L31+L37+L43+L46)</f>
        <v>#REF!</v>
      </c>
      <c r="M50" s="280">
        <f>SUM(M9+M25+M31+M37+M43+M46)</f>
        <v>1817810400</v>
      </c>
      <c r="N50" s="280">
        <f>N46+N43+N37+N31+N25+N9</f>
        <v>3093668960</v>
      </c>
      <c r="O50" s="280">
        <f>O46+O43+O37+O31+O25+O9</f>
        <v>2875175200</v>
      </c>
      <c r="P50" s="280">
        <f>P46+P43+P37+P31+P25+P9</f>
        <v>4847271840</v>
      </c>
      <c r="Q50" s="280">
        <f>Q46+Q43+Q37+Q31+Q25+Q9+Q49</f>
        <v>5980285520</v>
      </c>
      <c r="R50" s="280">
        <f t="shared" si="0"/>
        <v>1133013680</v>
      </c>
    </row>
    <row r="52" spans="1:18" ht="24.95" customHeight="1">
      <c r="R52" s="811"/>
    </row>
    <row r="54" spans="1:18" ht="24.95" customHeight="1">
      <c r="R54" s="708"/>
    </row>
  </sheetData>
  <phoneticPr fontId="0" type="noConversion"/>
  <printOptions gridLines="1"/>
  <pageMargins left="0.74803149606299213" right="0.23622047244094491" top="0.62992125984251968" bottom="0.15748031496062992" header="0.15748031496062992" footer="0.15748031496062992"/>
  <pageSetup scale="50" orientation="portrait" r:id="rId1"/>
  <headerFooter alignWithMargins="0">
    <oddHeader>&amp;C&amp;"Algerian,Bold"&amp;36WASAARADdA DIINTA IYO AWQAAFTA</oddHeader>
    <oddFooter>&amp;R&amp;"Times New Roman,Bold"&amp;14 44</oddFooter>
  </headerFooter>
  <ignoredErrors>
    <ignoredError sqref="L34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6" zoomScale="93" zoomScaleNormal="100" zoomScaleSheetLayoutView="93" workbookViewId="0">
      <selection activeCell="E42" sqref="E42"/>
    </sheetView>
  </sheetViews>
  <sheetFormatPr defaultRowHeight="21" customHeight="1"/>
  <cols>
    <col min="1" max="1" width="13.83203125" style="612" bestFit="1" customWidth="1"/>
    <col min="2" max="2" width="58.83203125" style="612" customWidth="1"/>
    <col min="3" max="3" width="17.1640625" style="739" hidden="1" customWidth="1"/>
    <col min="4" max="4" width="23.1640625" style="739" bestFit="1" customWidth="1"/>
    <col min="5" max="5" width="23.1640625" style="739" customWidth="1"/>
    <col min="6" max="6" width="23.1640625" style="739" bestFit="1" customWidth="1"/>
    <col min="7" max="16384" width="9.33203125" style="612"/>
  </cols>
  <sheetData>
    <row r="1" spans="1:6" ht="21" customHeight="1">
      <c r="A1" s="789" t="s">
        <v>40</v>
      </c>
      <c r="B1" s="731" t="s">
        <v>1194</v>
      </c>
      <c r="C1" s="736"/>
      <c r="D1" s="736"/>
      <c r="E1" s="736"/>
      <c r="F1" s="736"/>
    </row>
    <row r="2" spans="1:6" ht="21" customHeight="1">
      <c r="A2" s="735">
        <v>210</v>
      </c>
      <c r="B2" s="740" t="s">
        <v>137</v>
      </c>
      <c r="C2" s="736" t="s">
        <v>973</v>
      </c>
      <c r="D2" s="736" t="s">
        <v>1160</v>
      </c>
      <c r="E2" s="736" t="s">
        <v>1320</v>
      </c>
      <c r="F2" s="736" t="s">
        <v>56</v>
      </c>
    </row>
    <row r="3" spans="1:6" ht="21" customHeight="1">
      <c r="A3" s="735">
        <v>2110</v>
      </c>
      <c r="B3" s="740" t="s">
        <v>213</v>
      </c>
      <c r="C3" s="736"/>
      <c r="D3" s="738"/>
      <c r="E3" s="738"/>
      <c r="F3" s="738"/>
    </row>
    <row r="4" spans="1:6" ht="21" customHeight="1">
      <c r="A4" s="737">
        <v>21101</v>
      </c>
      <c r="B4" s="741" t="s">
        <v>28</v>
      </c>
      <c r="C4" s="736"/>
      <c r="D4" s="738">
        <v>129692160</v>
      </c>
      <c r="E4" s="899">
        <v>302372928</v>
      </c>
      <c r="F4" s="738">
        <f>E4-D4</f>
        <v>172680768</v>
      </c>
    </row>
    <row r="5" spans="1:6" ht="21" customHeight="1">
      <c r="A5" s="737">
        <v>21102</v>
      </c>
      <c r="B5" s="741" t="s">
        <v>555</v>
      </c>
      <c r="C5" s="736"/>
      <c r="D5" s="742">
        <v>114000000</v>
      </c>
      <c r="E5" s="900">
        <v>114000000</v>
      </c>
      <c r="F5" s="738">
        <f t="shared" ref="F5:F42" si="0">E5-D5</f>
        <v>0</v>
      </c>
    </row>
    <row r="6" spans="1:6" ht="21" customHeight="1">
      <c r="A6" s="737">
        <v>21103</v>
      </c>
      <c r="B6" s="741" t="s">
        <v>30</v>
      </c>
      <c r="C6" s="736"/>
      <c r="D6" s="742">
        <v>198000000</v>
      </c>
      <c r="E6" s="900">
        <v>198000000</v>
      </c>
      <c r="F6" s="738">
        <f t="shared" si="0"/>
        <v>0</v>
      </c>
    </row>
    <row r="7" spans="1:6" ht="21" customHeight="1">
      <c r="A7" s="737">
        <v>21105</v>
      </c>
      <c r="B7" s="741" t="s">
        <v>1175</v>
      </c>
      <c r="C7" s="736"/>
      <c r="D7" s="738">
        <v>210000000</v>
      </c>
      <c r="E7" s="899">
        <v>1060000000</v>
      </c>
      <c r="F7" s="738">
        <f t="shared" si="0"/>
        <v>850000000</v>
      </c>
    </row>
    <row r="8" spans="1:6" ht="21" customHeight="1">
      <c r="A8" s="737"/>
      <c r="B8" s="740" t="s">
        <v>92</v>
      </c>
      <c r="C8" s="736"/>
      <c r="D8" s="736">
        <f>SUM(D4:D7)</f>
        <v>651692160</v>
      </c>
      <c r="E8" s="901">
        <f>SUM(E4:E7)</f>
        <v>1674372928</v>
      </c>
      <c r="F8" s="736">
        <f t="shared" si="0"/>
        <v>1022680768</v>
      </c>
    </row>
    <row r="9" spans="1:6" ht="21" customHeight="1">
      <c r="A9" s="735">
        <v>220</v>
      </c>
      <c r="B9" s="740" t="s">
        <v>225</v>
      </c>
      <c r="C9" s="736"/>
      <c r="D9" s="738"/>
      <c r="E9" s="899"/>
      <c r="F9" s="738">
        <f t="shared" si="0"/>
        <v>0</v>
      </c>
    </row>
    <row r="10" spans="1:6" ht="21" customHeight="1">
      <c r="A10" s="735">
        <v>2210</v>
      </c>
      <c r="B10" s="740" t="s">
        <v>226</v>
      </c>
      <c r="C10" s="736"/>
      <c r="D10" s="738"/>
      <c r="E10" s="899"/>
      <c r="F10" s="738">
        <f t="shared" si="0"/>
        <v>0</v>
      </c>
    </row>
    <row r="11" spans="1:6" ht="21" customHeight="1">
      <c r="A11" s="737">
        <v>22101</v>
      </c>
      <c r="B11" s="741" t="s">
        <v>33</v>
      </c>
      <c r="C11" s="736"/>
      <c r="D11" s="738">
        <v>40000000</v>
      </c>
      <c r="E11" s="899">
        <v>80000000</v>
      </c>
      <c r="F11" s="738">
        <f t="shared" si="0"/>
        <v>40000000</v>
      </c>
    </row>
    <row r="12" spans="1:6" ht="21" customHeight="1">
      <c r="A12" s="737">
        <v>22102</v>
      </c>
      <c r="B12" s="741" t="s">
        <v>381</v>
      </c>
      <c r="C12" s="736"/>
      <c r="D12" s="738"/>
      <c r="E12" s="899"/>
      <c r="F12" s="738">
        <f t="shared" si="0"/>
        <v>0</v>
      </c>
    </row>
    <row r="13" spans="1:6" ht="21" customHeight="1">
      <c r="A13" s="737">
        <v>22103</v>
      </c>
      <c r="B13" s="741" t="s">
        <v>920</v>
      </c>
      <c r="C13" s="736"/>
      <c r="D13" s="738">
        <v>70000000</v>
      </c>
      <c r="E13" s="899">
        <v>70000000</v>
      </c>
      <c r="F13" s="738">
        <f t="shared" si="0"/>
        <v>0</v>
      </c>
    </row>
    <row r="14" spans="1:6" ht="21" customHeight="1">
      <c r="A14" s="737">
        <v>22104</v>
      </c>
      <c r="B14" s="741" t="s">
        <v>157</v>
      </c>
      <c r="C14" s="736"/>
      <c r="D14" s="738">
        <v>30000000</v>
      </c>
      <c r="E14" s="899">
        <v>30000000</v>
      </c>
      <c r="F14" s="738">
        <f t="shared" si="0"/>
        <v>0</v>
      </c>
    </row>
    <row r="15" spans="1:6" ht="21" customHeight="1">
      <c r="A15" s="737">
        <v>22105</v>
      </c>
      <c r="B15" s="741" t="s">
        <v>135</v>
      </c>
      <c r="C15" s="736"/>
      <c r="D15" s="738">
        <v>79200000</v>
      </c>
      <c r="E15" s="899">
        <v>79200000</v>
      </c>
      <c r="F15" s="738">
        <f t="shared" si="0"/>
        <v>0</v>
      </c>
    </row>
    <row r="16" spans="1:6" ht="21" customHeight="1">
      <c r="A16" s="737">
        <v>22106</v>
      </c>
      <c r="B16" s="741" t="s">
        <v>897</v>
      </c>
      <c r="C16" s="736"/>
      <c r="D16" s="738"/>
      <c r="E16" s="899"/>
      <c r="F16" s="738">
        <f t="shared" si="0"/>
        <v>0</v>
      </c>
    </row>
    <row r="17" spans="1:6" ht="21" customHeight="1">
      <c r="A17" s="737">
        <v>22107</v>
      </c>
      <c r="B17" s="741" t="s">
        <v>48</v>
      </c>
      <c r="C17" s="736"/>
      <c r="D17" s="738">
        <v>30000000</v>
      </c>
      <c r="E17" s="899">
        <v>30000000</v>
      </c>
      <c r="F17" s="738">
        <f t="shared" si="0"/>
        <v>0</v>
      </c>
    </row>
    <row r="18" spans="1:6" ht="21" customHeight="1">
      <c r="A18" s="737">
        <v>22109</v>
      </c>
      <c r="B18" s="741" t="s">
        <v>136</v>
      </c>
      <c r="C18" s="736"/>
      <c r="D18" s="738">
        <v>10000000</v>
      </c>
      <c r="E18" s="899">
        <v>10000000</v>
      </c>
      <c r="F18" s="738">
        <f t="shared" si="0"/>
        <v>0</v>
      </c>
    </row>
    <row r="19" spans="1:6" ht="21" customHeight="1">
      <c r="A19" s="737">
        <v>22112</v>
      </c>
      <c r="B19" s="741" t="s">
        <v>35</v>
      </c>
      <c r="C19" s="736"/>
      <c r="D19" s="738">
        <v>15000000</v>
      </c>
      <c r="E19" s="899">
        <v>15000000</v>
      </c>
      <c r="F19" s="738">
        <f t="shared" si="0"/>
        <v>0</v>
      </c>
    </row>
    <row r="20" spans="1:6" ht="21" customHeight="1">
      <c r="A20" s="737">
        <v>22123</v>
      </c>
      <c r="B20" s="741" t="s">
        <v>271</v>
      </c>
      <c r="C20" s="736"/>
      <c r="D20" s="738"/>
      <c r="E20" s="899"/>
      <c r="F20" s="738">
        <f t="shared" si="0"/>
        <v>0</v>
      </c>
    </row>
    <row r="21" spans="1:6" ht="21" customHeight="1">
      <c r="A21" s="737">
        <v>22125</v>
      </c>
      <c r="B21" s="741" t="s">
        <v>1174</v>
      </c>
      <c r="C21" s="736"/>
      <c r="D21" s="738"/>
      <c r="E21" s="899"/>
      <c r="F21" s="738">
        <f t="shared" si="0"/>
        <v>0</v>
      </c>
    </row>
    <row r="22" spans="1:6" ht="21" customHeight="1">
      <c r="A22" s="737">
        <v>22132</v>
      </c>
      <c r="B22" s="741" t="s">
        <v>1360</v>
      </c>
      <c r="C22" s="736"/>
      <c r="D22" s="738">
        <v>100000000</v>
      </c>
      <c r="E22" s="899">
        <v>300000000</v>
      </c>
      <c r="F22" s="738">
        <f t="shared" si="0"/>
        <v>200000000</v>
      </c>
    </row>
    <row r="23" spans="1:6" ht="21" customHeight="1">
      <c r="A23" s="737">
        <v>22137</v>
      </c>
      <c r="B23" s="741" t="s">
        <v>1176</v>
      </c>
      <c r="C23" s="736"/>
      <c r="D23" s="738">
        <v>100000000</v>
      </c>
      <c r="E23" s="899">
        <v>100000000</v>
      </c>
      <c r="F23" s="738">
        <f t="shared" si="0"/>
        <v>0</v>
      </c>
    </row>
    <row r="24" spans="1:6" ht="21" customHeight="1">
      <c r="A24" s="737">
        <v>22146</v>
      </c>
      <c r="B24" s="741" t="s">
        <v>891</v>
      </c>
      <c r="C24" s="736"/>
      <c r="D24" s="738"/>
      <c r="E24" s="899"/>
      <c r="F24" s="738">
        <f t="shared" si="0"/>
        <v>0</v>
      </c>
    </row>
    <row r="25" spans="1:6" ht="21" customHeight="1">
      <c r="A25" s="737"/>
      <c r="B25" s="740" t="s">
        <v>92</v>
      </c>
      <c r="C25" s="736"/>
      <c r="D25" s="736">
        <f>SUM(D11:D24)</f>
        <v>474200000</v>
      </c>
      <c r="E25" s="901">
        <f>SUM(E11:E24)</f>
        <v>714200000</v>
      </c>
      <c r="F25" s="736">
        <f t="shared" si="0"/>
        <v>240000000</v>
      </c>
    </row>
    <row r="26" spans="1:6" ht="21" customHeight="1">
      <c r="A26" s="735">
        <v>2220</v>
      </c>
      <c r="B26" s="740" t="s">
        <v>240</v>
      </c>
      <c r="C26" s="736"/>
      <c r="D26" s="738"/>
      <c r="E26" s="899"/>
      <c r="F26" s="738">
        <f t="shared" si="0"/>
        <v>0</v>
      </c>
    </row>
    <row r="27" spans="1:6" ht="21" customHeight="1">
      <c r="A27" s="737">
        <v>22201</v>
      </c>
      <c r="B27" s="741" t="s">
        <v>132</v>
      </c>
      <c r="C27" s="736"/>
      <c r="D27" s="738"/>
      <c r="E27" s="899"/>
      <c r="F27" s="738">
        <f t="shared" si="0"/>
        <v>0</v>
      </c>
    </row>
    <row r="28" spans="1:6" ht="21" customHeight="1">
      <c r="A28" s="737">
        <v>22202</v>
      </c>
      <c r="B28" s="741" t="s">
        <v>133</v>
      </c>
      <c r="C28" s="736"/>
      <c r="D28" s="738">
        <v>110000000</v>
      </c>
      <c r="E28" s="899">
        <v>110000000</v>
      </c>
      <c r="F28" s="738">
        <f t="shared" si="0"/>
        <v>0</v>
      </c>
    </row>
    <row r="29" spans="1:6" ht="21" customHeight="1">
      <c r="A29" s="737">
        <v>22203</v>
      </c>
      <c r="B29" s="741" t="s">
        <v>127</v>
      </c>
      <c r="C29" s="736"/>
      <c r="D29" s="738">
        <v>30000000</v>
      </c>
      <c r="E29" s="899">
        <v>30000000</v>
      </c>
      <c r="F29" s="738">
        <f t="shared" si="0"/>
        <v>0</v>
      </c>
    </row>
    <row r="30" spans="1:6" ht="21" customHeight="1">
      <c r="A30" s="737">
        <v>22204</v>
      </c>
      <c r="B30" s="741" t="s">
        <v>128</v>
      </c>
      <c r="C30" s="736"/>
      <c r="D30" s="738">
        <v>10000000</v>
      </c>
      <c r="E30" s="899">
        <v>10000000</v>
      </c>
      <c r="F30" s="738">
        <f t="shared" si="0"/>
        <v>0</v>
      </c>
    </row>
    <row r="31" spans="1:6" ht="21" customHeight="1">
      <c r="A31" s="737"/>
      <c r="B31" s="740" t="s">
        <v>92</v>
      </c>
      <c r="C31" s="736"/>
      <c r="D31" s="736">
        <f>SUM(D28:D30)</f>
        <v>150000000</v>
      </c>
      <c r="E31" s="901">
        <f>SUM(E28:E30)</f>
        <v>150000000</v>
      </c>
      <c r="F31" s="736">
        <f t="shared" si="0"/>
        <v>0</v>
      </c>
    </row>
    <row r="32" spans="1:6" ht="21" customHeight="1">
      <c r="A32" s="735">
        <v>2230</v>
      </c>
      <c r="B32" s="740" t="s">
        <v>130</v>
      </c>
      <c r="C32" s="736"/>
      <c r="D32" s="738"/>
      <c r="E32" s="899"/>
      <c r="F32" s="738">
        <f t="shared" si="0"/>
        <v>0</v>
      </c>
    </row>
    <row r="33" spans="1:7" ht="21" customHeight="1">
      <c r="A33" s="737">
        <v>22301</v>
      </c>
      <c r="B33" s="741" t="s">
        <v>49</v>
      </c>
      <c r="C33" s="736"/>
      <c r="D33" s="738">
        <v>32500000</v>
      </c>
      <c r="E33" s="899">
        <v>32500000</v>
      </c>
      <c r="F33" s="738">
        <f t="shared" si="0"/>
        <v>0</v>
      </c>
    </row>
    <row r="34" spans="1:7" ht="21" customHeight="1">
      <c r="A34" s="737">
        <v>22302</v>
      </c>
      <c r="B34" s="741" t="s">
        <v>249</v>
      </c>
      <c r="C34" s="736"/>
      <c r="D34" s="738"/>
      <c r="E34" s="899"/>
      <c r="F34" s="738">
        <f t="shared" si="0"/>
        <v>0</v>
      </c>
    </row>
    <row r="35" spans="1:7" ht="21" customHeight="1">
      <c r="A35" s="737">
        <v>22313</v>
      </c>
      <c r="B35" s="741" t="s">
        <v>251</v>
      </c>
      <c r="C35" s="736"/>
      <c r="D35" s="738"/>
      <c r="E35" s="899"/>
      <c r="F35" s="738">
        <f t="shared" si="0"/>
        <v>0</v>
      </c>
    </row>
    <row r="36" spans="1:7" ht="21" customHeight="1">
      <c r="A36" s="737"/>
      <c r="B36" s="740" t="s">
        <v>92</v>
      </c>
      <c r="C36" s="736"/>
      <c r="D36" s="736">
        <f>SUM(D33:D35)</f>
        <v>32500000</v>
      </c>
      <c r="E36" s="901">
        <f>SUM(E33:E35)</f>
        <v>32500000</v>
      </c>
      <c r="F36" s="736">
        <f t="shared" si="0"/>
        <v>0</v>
      </c>
      <c r="G36" s="790"/>
    </row>
    <row r="37" spans="1:7" ht="21" customHeight="1">
      <c r="A37" s="735">
        <v>270</v>
      </c>
      <c r="B37" s="740" t="s">
        <v>253</v>
      </c>
      <c r="C37" s="736"/>
      <c r="D37" s="738"/>
      <c r="E37" s="899"/>
      <c r="F37" s="738">
        <f t="shared" si="0"/>
        <v>0</v>
      </c>
    </row>
    <row r="38" spans="1:7" ht="21" customHeight="1">
      <c r="A38" s="735">
        <v>2710</v>
      </c>
      <c r="B38" s="740" t="s">
        <v>252</v>
      </c>
      <c r="C38" s="736"/>
      <c r="D38" s="738"/>
      <c r="E38" s="899"/>
      <c r="F38" s="738">
        <f t="shared" si="0"/>
        <v>0</v>
      </c>
    </row>
    <row r="39" spans="1:7" ht="21" customHeight="1">
      <c r="A39" s="737">
        <v>27502</v>
      </c>
      <c r="B39" s="741" t="s">
        <v>148</v>
      </c>
      <c r="C39" s="736"/>
      <c r="D39" s="738"/>
      <c r="E39" s="899"/>
      <c r="F39" s="738">
        <f t="shared" si="0"/>
        <v>0</v>
      </c>
    </row>
    <row r="40" spans="1:7" ht="21" customHeight="1">
      <c r="A40" s="737">
        <v>27402</v>
      </c>
      <c r="B40" s="741" t="s">
        <v>382</v>
      </c>
      <c r="C40" s="736"/>
      <c r="D40" s="738">
        <v>300000000</v>
      </c>
      <c r="E40" s="899">
        <v>0</v>
      </c>
      <c r="F40" s="738">
        <f t="shared" si="0"/>
        <v>-300000000</v>
      </c>
    </row>
    <row r="41" spans="1:7" ht="21" customHeight="1">
      <c r="A41" s="737"/>
      <c r="B41" s="740" t="s">
        <v>92</v>
      </c>
      <c r="C41" s="736"/>
      <c r="D41" s="736">
        <f>SUM(D39:D40)</f>
        <v>300000000</v>
      </c>
      <c r="E41" s="901">
        <f>SUM(E39:E40)</f>
        <v>0</v>
      </c>
      <c r="F41" s="736">
        <f t="shared" si="0"/>
        <v>-300000000</v>
      </c>
    </row>
    <row r="42" spans="1:7" ht="21" customHeight="1">
      <c r="A42" s="737"/>
      <c r="B42" s="740" t="s">
        <v>37</v>
      </c>
      <c r="C42" s="736"/>
      <c r="D42" s="736">
        <f>D41+D36+D25+D8+D31</f>
        <v>1608392160</v>
      </c>
      <c r="E42" s="901">
        <f>E41+E36+E25+E8+E31</f>
        <v>2571072928</v>
      </c>
      <c r="F42" s="736">
        <f t="shared" si="0"/>
        <v>962680768</v>
      </c>
    </row>
  </sheetData>
  <pageMargins left="0.7" right="0.7" top="0.75" bottom="0.75" header="0.3" footer="0.3"/>
  <pageSetup scale="71" orientation="portrait" r:id="rId1"/>
  <headerFooter>
    <oddHeader>&amp;C&amp;"Algerian,Bold"&amp;36Ha'yadda Diiwanka Sakada</oddHeader>
    <oddFooter>&amp;R&amp;"Times New Roman,Bold"45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topLeftCell="A34" zoomScale="61" zoomScaleSheetLayoutView="61" workbookViewId="0">
      <selection activeCell="R48" sqref="R48"/>
    </sheetView>
  </sheetViews>
  <sheetFormatPr defaultRowHeight="27" customHeight="1"/>
  <cols>
    <col min="1" max="1" width="18.1640625" style="565" bestFit="1" customWidth="1"/>
    <col min="2" max="2" width="79.1640625" style="399" customWidth="1"/>
    <col min="3" max="11" width="9.33203125" style="399" hidden="1" customWidth="1"/>
    <col min="12" max="12" width="16.83203125" style="399" hidden="1" customWidth="1"/>
    <col min="13" max="13" width="19.1640625" style="399" hidden="1" customWidth="1"/>
    <col min="14" max="14" width="27.6640625" style="561" hidden="1" customWidth="1"/>
    <col min="15" max="15" width="17" style="561" hidden="1" customWidth="1"/>
    <col min="16" max="16" width="27.6640625" style="561" hidden="1" customWidth="1"/>
    <col min="17" max="17" width="27.6640625" style="561" customWidth="1"/>
    <col min="18" max="18" width="29.5" style="561" bestFit="1" customWidth="1"/>
    <col min="19" max="19" width="27.6640625" style="561" customWidth="1"/>
    <col min="20" max="16384" width="9.33203125" style="399"/>
  </cols>
  <sheetData>
    <row r="1" spans="1:19" ht="27" customHeight="1">
      <c r="A1" s="608" t="s">
        <v>39</v>
      </c>
      <c r="B1" s="545" t="s">
        <v>1017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46"/>
      <c r="O1" s="246"/>
      <c r="P1" s="246"/>
      <c r="Q1" s="246"/>
      <c r="R1" s="246"/>
      <c r="S1" s="246"/>
    </row>
    <row r="2" spans="1:19" ht="27" customHeight="1">
      <c r="A2" s="476" t="s">
        <v>25</v>
      </c>
      <c r="B2" s="303" t="s">
        <v>26</v>
      </c>
      <c r="C2" s="482" t="s">
        <v>26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116</v>
      </c>
      <c r="L2" s="482" t="s">
        <v>151</v>
      </c>
      <c r="M2" s="482" t="s">
        <v>274</v>
      </c>
      <c r="N2" s="286" t="s">
        <v>814</v>
      </c>
      <c r="O2" s="286" t="s">
        <v>874</v>
      </c>
      <c r="P2" s="286" t="s">
        <v>973</v>
      </c>
      <c r="Q2" s="286" t="s">
        <v>1160</v>
      </c>
      <c r="R2" s="286" t="s">
        <v>1320</v>
      </c>
      <c r="S2" s="286" t="s">
        <v>56</v>
      </c>
    </row>
    <row r="3" spans="1:19" ht="27" customHeight="1">
      <c r="A3" s="476">
        <v>210</v>
      </c>
      <c r="B3" s="280" t="s">
        <v>137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301"/>
      <c r="O3" s="301"/>
      <c r="P3" s="301"/>
      <c r="Q3" s="301"/>
      <c r="R3" s="301"/>
      <c r="S3" s="301"/>
    </row>
    <row r="4" spans="1:19" ht="27" customHeight="1">
      <c r="A4" s="476">
        <v>2110</v>
      </c>
      <c r="B4" s="280" t="s">
        <v>213</v>
      </c>
      <c r="C4" s="246">
        <v>129049440</v>
      </c>
      <c r="D4" s="246">
        <v>282948000</v>
      </c>
      <c r="E4" s="246">
        <v>293366000</v>
      </c>
      <c r="F4" s="246">
        <v>293366000</v>
      </c>
      <c r="G4" s="246">
        <f>402876000</f>
        <v>402876000</v>
      </c>
      <c r="H4" s="246">
        <f>402876000+19848000</f>
        <v>422724000</v>
      </c>
      <c r="I4" s="246">
        <v>604890000</v>
      </c>
      <c r="J4" s="246">
        <f>640270800+14695200+81000000+9000000</f>
        <v>744966000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7" customHeight="1">
      <c r="A5" s="392">
        <v>21101</v>
      </c>
      <c r="B5" s="246" t="s">
        <v>28</v>
      </c>
      <c r="C5" s="246">
        <v>20379400</v>
      </c>
      <c r="D5" s="246">
        <v>0</v>
      </c>
      <c r="E5" s="246">
        <v>0</v>
      </c>
      <c r="F5" s="246">
        <v>0</v>
      </c>
      <c r="G5" s="246">
        <v>0</v>
      </c>
      <c r="H5" s="246">
        <v>0</v>
      </c>
      <c r="I5" s="246">
        <v>0</v>
      </c>
      <c r="J5" s="246">
        <v>0</v>
      </c>
      <c r="K5" s="246">
        <f>744966000+18000000</f>
        <v>762966000</v>
      </c>
      <c r="L5" s="246">
        <f>762966000+49541400</f>
        <v>812507400</v>
      </c>
      <c r="M5" s="246">
        <f>shaqaalaha2011!H39+72000000+21091200+1695200</f>
        <v>1228750400</v>
      </c>
      <c r="N5" s="246">
        <v>1351209600</v>
      </c>
      <c r="O5" s="246">
        <v>1824529920</v>
      </c>
      <c r="P5" s="246">
        <v>2201808960</v>
      </c>
      <c r="Q5" s="246">
        <v>2849633280</v>
      </c>
      <c r="R5" s="840">
        <v>3788886816</v>
      </c>
      <c r="S5" s="246">
        <f>R5-Q5</f>
        <v>939253536</v>
      </c>
    </row>
    <row r="6" spans="1:19" ht="27" customHeight="1">
      <c r="A6" s="392">
        <v>21102</v>
      </c>
      <c r="B6" s="246" t="s">
        <v>554</v>
      </c>
      <c r="C6" s="246">
        <v>13200000</v>
      </c>
      <c r="D6" s="246">
        <v>13200000</v>
      </c>
      <c r="E6" s="246">
        <v>13200000</v>
      </c>
      <c r="F6" s="246">
        <v>13200000</v>
      </c>
      <c r="G6" s="246">
        <v>16800000</v>
      </c>
      <c r="H6" s="246">
        <v>19200000</v>
      </c>
      <c r="I6" s="246">
        <v>16800000</v>
      </c>
      <c r="J6" s="246">
        <f>16800000+2400000+48600000+2160000</f>
        <v>69960000</v>
      </c>
      <c r="K6" s="246">
        <v>0</v>
      </c>
      <c r="L6" s="246">
        <v>0</v>
      </c>
      <c r="M6" s="246">
        <v>0</v>
      </c>
      <c r="N6" s="246">
        <v>194400000</v>
      </c>
      <c r="O6" s="246">
        <v>194400000</v>
      </c>
      <c r="P6" s="246">
        <v>194400000</v>
      </c>
      <c r="Q6" s="246">
        <v>194400000</v>
      </c>
      <c r="R6" s="840">
        <v>194400000</v>
      </c>
      <c r="S6" s="246">
        <f t="shared" ref="S6:S48" si="0">R6-Q6</f>
        <v>0</v>
      </c>
    </row>
    <row r="7" spans="1:19" ht="27" customHeight="1">
      <c r="A7" s="392">
        <v>21103</v>
      </c>
      <c r="B7" s="246" t="s">
        <v>30</v>
      </c>
      <c r="C7" s="286">
        <f t="shared" ref="C7:H7" si="1">SUM(C4:C6)</f>
        <v>162628840</v>
      </c>
      <c r="D7" s="286">
        <f t="shared" si="1"/>
        <v>296148000</v>
      </c>
      <c r="E7" s="286">
        <f t="shared" si="1"/>
        <v>306566000</v>
      </c>
      <c r="F7" s="286">
        <f t="shared" si="1"/>
        <v>306566000</v>
      </c>
      <c r="G7" s="286">
        <f t="shared" si="1"/>
        <v>419676000</v>
      </c>
      <c r="H7" s="286">
        <f t="shared" si="1"/>
        <v>441924000</v>
      </c>
      <c r="I7" s="286">
        <f>SUM(I4:I6)</f>
        <v>621690000</v>
      </c>
      <c r="J7" s="286">
        <f>SUM(J4:J6)</f>
        <v>814926000</v>
      </c>
      <c r="K7" s="246">
        <v>84000000</v>
      </c>
      <c r="L7" s="246">
        <f>84000000+6000000</f>
        <v>90000000</v>
      </c>
      <c r="M7" s="246">
        <f>84000000+6000000</f>
        <v>90000000</v>
      </c>
      <c r="N7" s="246">
        <v>162000000</v>
      </c>
      <c r="O7" s="246">
        <v>324000000</v>
      </c>
      <c r="P7" s="246">
        <v>342000000</v>
      </c>
      <c r="Q7" s="246">
        <v>342000000</v>
      </c>
      <c r="R7" s="840">
        <v>360000000</v>
      </c>
      <c r="S7" s="246">
        <f t="shared" si="0"/>
        <v>18000000</v>
      </c>
    </row>
    <row r="8" spans="1:19" ht="27" customHeight="1">
      <c r="A8" s="392">
        <v>21105</v>
      </c>
      <c r="B8" s="246" t="s">
        <v>892</v>
      </c>
      <c r="C8" s="286"/>
      <c r="D8" s="286"/>
      <c r="E8" s="286"/>
      <c r="F8" s="286"/>
      <c r="G8" s="286"/>
      <c r="H8" s="286"/>
      <c r="I8" s="286"/>
      <c r="J8" s="286"/>
      <c r="K8" s="246"/>
      <c r="L8" s="246"/>
      <c r="M8" s="246">
        <v>72000000</v>
      </c>
      <c r="N8" s="246">
        <f>M8</f>
        <v>72000000</v>
      </c>
      <c r="O8" s="246">
        <v>513600000</v>
      </c>
      <c r="P8" s="246">
        <v>607200000</v>
      </c>
      <c r="Q8" s="282">
        <v>766200000</v>
      </c>
      <c r="R8" s="852">
        <v>960600000</v>
      </c>
      <c r="S8" s="246">
        <f t="shared" si="0"/>
        <v>194400000</v>
      </c>
    </row>
    <row r="9" spans="1:19" ht="27" customHeight="1">
      <c r="A9" s="392"/>
      <c r="B9" s="280" t="s">
        <v>92</v>
      </c>
      <c r="C9" s="246"/>
      <c r="D9" s="246"/>
      <c r="E9" s="246"/>
      <c r="F9" s="246"/>
      <c r="G9" s="246"/>
      <c r="H9" s="246"/>
      <c r="I9" s="246"/>
      <c r="J9" s="246"/>
      <c r="K9" s="246">
        <v>0</v>
      </c>
      <c r="L9" s="280">
        <f>SUM(L5:L7)</f>
        <v>902507400</v>
      </c>
      <c r="M9" s="280">
        <f>M8+M7+M6+M5</f>
        <v>1390750400</v>
      </c>
      <c r="N9" s="280">
        <f>SUM(N5:N8)</f>
        <v>1779609600</v>
      </c>
      <c r="O9" s="280">
        <f>SUM(O5:O8)</f>
        <v>2856529920</v>
      </c>
      <c r="P9" s="280">
        <f>SUM(P5:P8)</f>
        <v>3345408960</v>
      </c>
      <c r="Q9" s="280">
        <f>SUM(Q5:Q8)</f>
        <v>4152233280</v>
      </c>
      <c r="R9" s="851">
        <f>SUM(R5:R8)</f>
        <v>5303886816</v>
      </c>
      <c r="S9" s="280">
        <f t="shared" si="0"/>
        <v>1151653536</v>
      </c>
    </row>
    <row r="10" spans="1:19" ht="27" customHeight="1">
      <c r="A10" s="476">
        <v>220</v>
      </c>
      <c r="B10" s="280" t="s">
        <v>225</v>
      </c>
      <c r="C10" s="246">
        <v>10000000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55000000</v>
      </c>
      <c r="K10" s="246">
        <v>0</v>
      </c>
      <c r="L10" s="246"/>
      <c r="M10" s="246"/>
      <c r="N10" s="246"/>
      <c r="O10" s="246"/>
      <c r="P10" s="246"/>
      <c r="Q10" s="246"/>
      <c r="R10" s="840"/>
      <c r="S10" s="246">
        <f t="shared" si="0"/>
        <v>0</v>
      </c>
    </row>
    <row r="11" spans="1:19" ht="27" customHeight="1">
      <c r="A11" s="476">
        <v>2210</v>
      </c>
      <c r="B11" s="280" t="s">
        <v>226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12661600</v>
      </c>
      <c r="L11" s="246"/>
      <c r="M11" s="246"/>
      <c r="N11" s="246"/>
      <c r="O11" s="246"/>
      <c r="P11" s="246"/>
      <c r="Q11" s="246"/>
      <c r="R11" s="840"/>
      <c r="S11" s="246">
        <f t="shared" si="0"/>
        <v>0</v>
      </c>
    </row>
    <row r="12" spans="1:19" ht="27" customHeight="1">
      <c r="A12" s="392">
        <v>22101</v>
      </c>
      <c r="B12" s="246" t="s">
        <v>33</v>
      </c>
      <c r="C12" s="246">
        <v>0</v>
      </c>
      <c r="D12" s="246">
        <v>20000000</v>
      </c>
      <c r="E12" s="246">
        <v>0</v>
      </c>
      <c r="F12" s="246">
        <v>0</v>
      </c>
      <c r="G12" s="246">
        <v>0</v>
      </c>
      <c r="H12" s="246">
        <v>65000000</v>
      </c>
      <c r="I12" s="246">
        <v>72245600</v>
      </c>
      <c r="J12" s="246">
        <v>129000000</v>
      </c>
      <c r="K12" s="246">
        <v>29876000</v>
      </c>
      <c r="L12" s="246">
        <v>20854400</v>
      </c>
      <c r="M12" s="246">
        <f>20854400*70%</f>
        <v>14598080</v>
      </c>
      <c r="N12" s="246">
        <v>24598080</v>
      </c>
      <c r="O12" s="246">
        <v>24598080</v>
      </c>
      <c r="P12" s="246">
        <v>24598080</v>
      </c>
      <c r="Q12" s="246">
        <v>24598080</v>
      </c>
      <c r="R12" s="840">
        <v>24598080</v>
      </c>
      <c r="S12" s="246">
        <f t="shared" si="0"/>
        <v>0</v>
      </c>
    </row>
    <row r="13" spans="1:19" ht="27" customHeight="1">
      <c r="A13" s="392">
        <v>22104</v>
      </c>
      <c r="B13" s="246" t="s">
        <v>157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5586000</v>
      </c>
      <c r="L13" s="246">
        <v>15396600</v>
      </c>
      <c r="M13" s="246">
        <f>L13*70%</f>
        <v>10777620</v>
      </c>
      <c r="N13" s="246">
        <v>20777620</v>
      </c>
      <c r="O13" s="246">
        <v>50777620</v>
      </c>
      <c r="P13" s="246">
        <v>50777620</v>
      </c>
      <c r="Q13" s="246">
        <v>50777620</v>
      </c>
      <c r="R13" s="840">
        <v>50777620</v>
      </c>
      <c r="S13" s="246">
        <f t="shared" si="0"/>
        <v>0</v>
      </c>
    </row>
    <row r="14" spans="1:19" ht="27" customHeight="1">
      <c r="A14" s="392">
        <v>22106</v>
      </c>
      <c r="B14" s="246" t="s">
        <v>1361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840">
        <v>200000000</v>
      </c>
      <c r="S14" s="246">
        <f t="shared" si="0"/>
        <v>200000000</v>
      </c>
    </row>
    <row r="15" spans="1:19" ht="27" customHeight="1">
      <c r="A15" s="392">
        <v>22107</v>
      </c>
      <c r="B15" s="246" t="s">
        <v>48</v>
      </c>
      <c r="C15" s="246"/>
      <c r="D15" s="246"/>
      <c r="E15" s="246"/>
      <c r="F15" s="246"/>
      <c r="G15" s="246"/>
      <c r="H15" s="246"/>
      <c r="I15" s="246"/>
      <c r="J15" s="246"/>
      <c r="K15" s="246">
        <v>44688000</v>
      </c>
      <c r="L15" s="246">
        <v>15361600</v>
      </c>
      <c r="M15" s="246">
        <f>L15*70%</f>
        <v>10753120</v>
      </c>
      <c r="N15" s="246">
        <v>27527184</v>
      </c>
      <c r="O15" s="246">
        <v>67527184</v>
      </c>
      <c r="P15" s="246">
        <v>67527184</v>
      </c>
      <c r="Q15" s="246">
        <v>67527184</v>
      </c>
      <c r="R15" s="840">
        <v>67527184</v>
      </c>
      <c r="S15" s="246">
        <f t="shared" si="0"/>
        <v>0</v>
      </c>
    </row>
    <row r="16" spans="1:19" ht="27" customHeight="1">
      <c r="A16" s="392">
        <v>22109</v>
      </c>
      <c r="B16" s="246" t="s">
        <v>136</v>
      </c>
      <c r="C16" s="246">
        <v>0</v>
      </c>
      <c r="D16" s="246">
        <v>0</v>
      </c>
      <c r="E16" s="246">
        <v>0</v>
      </c>
      <c r="F16" s="246">
        <v>0</v>
      </c>
      <c r="G16" s="246">
        <v>8000000</v>
      </c>
      <c r="H16" s="246">
        <v>10000000</v>
      </c>
      <c r="I16" s="246">
        <v>7448000</v>
      </c>
      <c r="J16" s="246">
        <v>10000000</v>
      </c>
      <c r="K16" s="246"/>
      <c r="L16" s="246">
        <v>10986000</v>
      </c>
      <c r="M16" s="246">
        <f>10986000*70%</f>
        <v>7690199.9999999991</v>
      </c>
      <c r="N16" s="246">
        <v>27690200</v>
      </c>
      <c r="O16" s="246">
        <v>27690200</v>
      </c>
      <c r="P16" s="246">
        <v>27690200</v>
      </c>
      <c r="Q16" s="246">
        <v>27690200</v>
      </c>
      <c r="R16" s="840">
        <v>27690200</v>
      </c>
      <c r="S16" s="246">
        <f t="shared" si="0"/>
        <v>0</v>
      </c>
    </row>
    <row r="17" spans="1:19" ht="27" customHeight="1">
      <c r="A17" s="392">
        <v>22112</v>
      </c>
      <c r="B17" s="246" t="s">
        <v>35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2000000000</v>
      </c>
      <c r="I17" s="246">
        <v>650000000</v>
      </c>
      <c r="J17" s="246">
        <v>243750000</v>
      </c>
      <c r="K17" s="246">
        <v>0</v>
      </c>
      <c r="L17" s="246">
        <v>20296000</v>
      </c>
      <c r="M17" s="246">
        <f>L17*70%</f>
        <v>14207200</v>
      </c>
      <c r="N17" s="246">
        <f>M17</f>
        <v>14207200</v>
      </c>
      <c r="O17" s="246">
        <f>N17</f>
        <v>14207200</v>
      </c>
      <c r="P17" s="246">
        <v>50000000</v>
      </c>
      <c r="Q17" s="246">
        <v>50000000</v>
      </c>
      <c r="R17" s="840">
        <v>50000000</v>
      </c>
      <c r="S17" s="246">
        <f t="shared" si="0"/>
        <v>0</v>
      </c>
    </row>
    <row r="18" spans="1:19" ht="27" customHeight="1">
      <c r="A18" s="392">
        <v>22136</v>
      </c>
      <c r="B18" s="246" t="s">
        <v>1362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840">
        <v>200000000</v>
      </c>
      <c r="S18" s="246">
        <f t="shared" si="0"/>
        <v>200000000</v>
      </c>
    </row>
    <row r="19" spans="1:19" ht="27" customHeight="1">
      <c r="A19" s="392">
        <v>22137</v>
      </c>
      <c r="B19" s="246" t="s">
        <v>826</v>
      </c>
      <c r="C19" s="246">
        <v>4000000</v>
      </c>
      <c r="D19" s="246">
        <v>4800000</v>
      </c>
      <c r="E19" s="246">
        <v>4800000</v>
      </c>
      <c r="F19" s="246">
        <v>11400000</v>
      </c>
      <c r="G19" s="246">
        <v>13600000</v>
      </c>
      <c r="H19" s="246">
        <v>17000000</v>
      </c>
      <c r="I19" s="246">
        <v>12661600</v>
      </c>
      <c r="J19" s="246">
        <v>33000000</v>
      </c>
      <c r="K19" s="246"/>
      <c r="L19" s="246">
        <v>48745000</v>
      </c>
      <c r="M19" s="246">
        <f>48745000*70%</f>
        <v>34121500</v>
      </c>
      <c r="N19" s="246">
        <v>134121500</v>
      </c>
      <c r="O19" s="246">
        <v>134121500</v>
      </c>
      <c r="P19" s="246">
        <v>234121500</v>
      </c>
      <c r="Q19" s="246">
        <v>234121500</v>
      </c>
      <c r="R19" s="840">
        <v>234121500</v>
      </c>
      <c r="S19" s="246">
        <f t="shared" si="0"/>
        <v>0</v>
      </c>
    </row>
    <row r="20" spans="1:19" ht="27" customHeight="1">
      <c r="A20" s="392">
        <v>22149</v>
      </c>
      <c r="B20" s="246" t="s">
        <v>1179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>
        <v>250000000</v>
      </c>
      <c r="R20" s="840">
        <v>450000000</v>
      </c>
      <c r="S20" s="246">
        <f t="shared" si="0"/>
        <v>200000000</v>
      </c>
    </row>
    <row r="21" spans="1:19" ht="27" customHeight="1">
      <c r="A21" s="392">
        <v>22156</v>
      </c>
      <c r="B21" s="246" t="s">
        <v>835</v>
      </c>
      <c r="C21" s="292"/>
      <c r="D21" s="274"/>
      <c r="E21" s="292"/>
      <c r="F21" s="292"/>
      <c r="G21" s="292"/>
      <c r="H21" s="292"/>
      <c r="I21" s="292"/>
      <c r="J21" s="292"/>
      <c r="K21" s="279"/>
      <c r="L21" s="274">
        <v>1000000000</v>
      </c>
      <c r="M21" s="274">
        <v>0</v>
      </c>
      <c r="N21" s="246">
        <v>90000000</v>
      </c>
      <c r="O21" s="246">
        <v>190000000</v>
      </c>
      <c r="P21" s="246">
        <v>190000000</v>
      </c>
      <c r="Q21" s="246">
        <v>190000000</v>
      </c>
      <c r="R21" s="840">
        <v>390000000</v>
      </c>
      <c r="S21" s="246">
        <f t="shared" si="0"/>
        <v>200000000</v>
      </c>
    </row>
    <row r="22" spans="1:19" ht="27" customHeight="1">
      <c r="A22" s="392">
        <v>22158</v>
      </c>
      <c r="B22" s="246" t="s">
        <v>1303</v>
      </c>
      <c r="C22" s="292"/>
      <c r="D22" s="274"/>
      <c r="E22" s="292"/>
      <c r="F22" s="292"/>
      <c r="G22" s="292"/>
      <c r="H22" s="292"/>
      <c r="I22" s="292"/>
      <c r="J22" s="292"/>
      <c r="K22" s="279"/>
      <c r="L22" s="274"/>
      <c r="M22" s="274"/>
      <c r="N22" s="246"/>
      <c r="O22" s="246"/>
      <c r="P22" s="246"/>
      <c r="Q22" s="246">
        <v>1050000000</v>
      </c>
      <c r="R22" s="840">
        <v>1050000000</v>
      </c>
      <c r="S22" s="246">
        <f t="shared" si="0"/>
        <v>0</v>
      </c>
    </row>
    <row r="23" spans="1:19" ht="27" customHeight="1">
      <c r="A23" s="392"/>
      <c r="B23" s="280" t="s">
        <v>92</v>
      </c>
      <c r="C23" s="246">
        <v>29000000</v>
      </c>
      <c r="D23" s="246">
        <v>23200000</v>
      </c>
      <c r="E23" s="246">
        <v>23200000</v>
      </c>
      <c r="F23" s="246">
        <v>23200000</v>
      </c>
      <c r="G23" s="246">
        <v>0</v>
      </c>
      <c r="H23" s="246">
        <v>0</v>
      </c>
      <c r="I23" s="246">
        <v>0</v>
      </c>
      <c r="J23" s="246">
        <v>10400000</v>
      </c>
      <c r="K23" s="246">
        <v>0</v>
      </c>
      <c r="L23" s="280">
        <f>SUM(L12:L19)</f>
        <v>131639600</v>
      </c>
      <c r="M23" s="280">
        <f>SUM(M12:M19)</f>
        <v>92147720</v>
      </c>
      <c r="N23" s="280">
        <f>SUM(N12:N21)</f>
        <v>338921784</v>
      </c>
      <c r="O23" s="280">
        <f>SUM(O12:O21)</f>
        <v>508921784</v>
      </c>
      <c r="P23" s="280">
        <f>SUM(P12:P21)</f>
        <v>644714584</v>
      </c>
      <c r="Q23" s="280">
        <f>SUM(Q12:Q22)</f>
        <v>1944714584</v>
      </c>
      <c r="R23" s="851">
        <f>SUM(R12:R22)</f>
        <v>2744714584</v>
      </c>
      <c r="S23" s="280">
        <f t="shared" si="0"/>
        <v>800000000</v>
      </c>
    </row>
    <row r="24" spans="1:19" ht="27" customHeight="1">
      <c r="A24" s="476">
        <v>2220</v>
      </c>
      <c r="B24" s="280" t="s">
        <v>240</v>
      </c>
      <c r="C24" s="246"/>
      <c r="D24" s="246"/>
      <c r="E24" s="246"/>
      <c r="F24" s="246"/>
      <c r="G24" s="246"/>
      <c r="H24" s="246"/>
      <c r="I24" s="246">
        <v>0</v>
      </c>
      <c r="J24" s="246">
        <v>29876000</v>
      </c>
      <c r="K24" s="246">
        <v>0</v>
      </c>
      <c r="L24" s="246"/>
      <c r="M24" s="246"/>
      <c r="N24" s="246"/>
      <c r="O24" s="246"/>
      <c r="P24" s="246"/>
      <c r="Q24" s="246"/>
      <c r="R24" s="840"/>
      <c r="S24" s="246">
        <f t="shared" si="0"/>
        <v>0</v>
      </c>
    </row>
    <row r="25" spans="1:19" ht="27" customHeight="1">
      <c r="A25" s="392">
        <v>22201</v>
      </c>
      <c r="B25" s="246" t="s">
        <v>132</v>
      </c>
      <c r="C25" s="246"/>
      <c r="D25" s="246">
        <v>0</v>
      </c>
      <c r="E25" s="246">
        <v>0</v>
      </c>
      <c r="F25" s="246">
        <v>0</v>
      </c>
      <c r="G25" s="246">
        <v>11200000</v>
      </c>
      <c r="H25" s="246">
        <v>14000000</v>
      </c>
      <c r="I25" s="246">
        <v>12661600</v>
      </c>
      <c r="J25" s="246">
        <v>18000000</v>
      </c>
      <c r="K25" s="246">
        <v>7448000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840">
        <v>0</v>
      </c>
      <c r="S25" s="246">
        <f t="shared" si="0"/>
        <v>0</v>
      </c>
    </row>
    <row r="26" spans="1:19" ht="27" customHeight="1">
      <c r="A26" s="392">
        <v>22202</v>
      </c>
      <c r="B26" s="246" t="s">
        <v>133</v>
      </c>
      <c r="C26" s="246">
        <v>2000000</v>
      </c>
      <c r="D26" s="246">
        <v>0</v>
      </c>
      <c r="E26" s="246">
        <v>0</v>
      </c>
      <c r="F26" s="246">
        <v>0</v>
      </c>
      <c r="G26" s="246">
        <v>3360000</v>
      </c>
      <c r="H26" s="246">
        <v>4200000</v>
      </c>
      <c r="I26" s="246">
        <v>5586000</v>
      </c>
      <c r="J26" s="246">
        <v>10000000</v>
      </c>
      <c r="K26" s="246">
        <v>2606800</v>
      </c>
      <c r="L26" s="246">
        <v>280000000</v>
      </c>
      <c r="M26" s="246">
        <v>196000000</v>
      </c>
      <c r="N26" s="246">
        <v>256800000</v>
      </c>
      <c r="O26" s="246">
        <v>306800000</v>
      </c>
      <c r="P26" s="246">
        <v>356800000</v>
      </c>
      <c r="Q26" s="246">
        <v>396800000</v>
      </c>
      <c r="R26" s="840">
        <v>446800000</v>
      </c>
      <c r="S26" s="246">
        <f t="shared" si="0"/>
        <v>50000000</v>
      </c>
    </row>
    <row r="27" spans="1:19" ht="27" customHeight="1">
      <c r="A27" s="392">
        <v>22203</v>
      </c>
      <c r="B27" s="246" t="s">
        <v>127</v>
      </c>
      <c r="C27" s="246">
        <v>6000000</v>
      </c>
      <c r="D27" s="246">
        <v>4800000</v>
      </c>
      <c r="E27" s="246">
        <v>4800000</v>
      </c>
      <c r="F27" s="246">
        <v>4800000</v>
      </c>
      <c r="G27" s="246">
        <v>5440000</v>
      </c>
      <c r="H27" s="246">
        <v>6800000</v>
      </c>
      <c r="I27" s="246">
        <v>14896000</v>
      </c>
      <c r="J27" s="246">
        <v>20000000</v>
      </c>
      <c r="K27" s="246">
        <v>0</v>
      </c>
      <c r="L27" s="246">
        <v>29792000</v>
      </c>
      <c r="M27" s="246">
        <v>20854400</v>
      </c>
      <c r="N27" s="246">
        <v>30854400</v>
      </c>
      <c r="O27" s="246">
        <v>30854400</v>
      </c>
      <c r="P27" s="246">
        <v>30854400</v>
      </c>
      <c r="Q27" s="246">
        <v>50854400</v>
      </c>
      <c r="R27" s="840">
        <v>50854400</v>
      </c>
      <c r="S27" s="246">
        <f t="shared" si="0"/>
        <v>0</v>
      </c>
    </row>
    <row r="28" spans="1:19" ht="27" customHeight="1">
      <c r="A28" s="392">
        <v>22204</v>
      </c>
      <c r="B28" s="246" t="s">
        <v>128</v>
      </c>
      <c r="C28" s="246">
        <v>0</v>
      </c>
      <c r="D28" s="246">
        <v>0</v>
      </c>
      <c r="E28" s="246">
        <v>24688000</v>
      </c>
      <c r="F28" s="246">
        <v>33204601</v>
      </c>
      <c r="G28" s="246">
        <v>0</v>
      </c>
      <c r="H28" s="246">
        <v>0</v>
      </c>
      <c r="I28" s="246">
        <v>44688000</v>
      </c>
      <c r="J28" s="246">
        <v>50000000</v>
      </c>
      <c r="K28" s="280">
        <f>SUM(K23:K27)</f>
        <v>10054800</v>
      </c>
      <c r="L28" s="246">
        <v>7913600</v>
      </c>
      <c r="M28" s="246">
        <f t="shared" ref="M28:R28" si="2">7913600*70%</f>
        <v>5539520</v>
      </c>
      <c r="N28" s="246">
        <f t="shared" si="2"/>
        <v>5539520</v>
      </c>
      <c r="O28" s="246">
        <f t="shared" si="2"/>
        <v>5539520</v>
      </c>
      <c r="P28" s="246">
        <f t="shared" si="2"/>
        <v>5539520</v>
      </c>
      <c r="Q28" s="246">
        <f t="shared" si="2"/>
        <v>5539520</v>
      </c>
      <c r="R28" s="840">
        <f t="shared" si="2"/>
        <v>5539520</v>
      </c>
      <c r="S28" s="246">
        <f t="shared" si="0"/>
        <v>0</v>
      </c>
    </row>
    <row r="29" spans="1:19" ht="27" customHeight="1">
      <c r="A29" s="392"/>
      <c r="B29" s="280" t="s">
        <v>92</v>
      </c>
      <c r="C29" s="286">
        <f t="shared" ref="C29:J29" si="3">SUM(C19:C28)</f>
        <v>41000000</v>
      </c>
      <c r="D29" s="286">
        <f t="shared" si="3"/>
        <v>32800000</v>
      </c>
      <c r="E29" s="286">
        <f t="shared" si="3"/>
        <v>57488000</v>
      </c>
      <c r="F29" s="286">
        <f t="shared" si="3"/>
        <v>72604601</v>
      </c>
      <c r="G29" s="286">
        <f t="shared" si="3"/>
        <v>33600000</v>
      </c>
      <c r="H29" s="286">
        <f t="shared" si="3"/>
        <v>42000000</v>
      </c>
      <c r="I29" s="286">
        <f t="shared" si="3"/>
        <v>90493200</v>
      </c>
      <c r="J29" s="286">
        <f t="shared" si="3"/>
        <v>171276000</v>
      </c>
      <c r="K29" s="301">
        <v>243750000</v>
      </c>
      <c r="L29" s="286">
        <f t="shared" ref="L29:O29" si="4">SUM(L25:L28)</f>
        <v>317705600</v>
      </c>
      <c r="M29" s="286">
        <f t="shared" si="4"/>
        <v>222393920</v>
      </c>
      <c r="N29" s="286">
        <f t="shared" si="4"/>
        <v>293193920</v>
      </c>
      <c r="O29" s="286">
        <f t="shared" si="4"/>
        <v>343193920</v>
      </c>
      <c r="P29" s="286">
        <f>SUM(P25:P28)</f>
        <v>393193920</v>
      </c>
      <c r="Q29" s="286">
        <f>SUM(Q25:Q28)</f>
        <v>453193920</v>
      </c>
      <c r="R29" s="902">
        <f>SUM(R25:R28)</f>
        <v>503193920</v>
      </c>
      <c r="S29" s="280">
        <f t="shared" si="0"/>
        <v>50000000</v>
      </c>
    </row>
    <row r="30" spans="1:19" ht="27" customHeight="1">
      <c r="A30" s="476">
        <v>2230</v>
      </c>
      <c r="B30" s="280" t="s">
        <v>130</v>
      </c>
      <c r="C30" s="286"/>
      <c r="D30" s="286"/>
      <c r="E30" s="286"/>
      <c r="F30" s="286"/>
      <c r="G30" s="286"/>
      <c r="H30" s="286"/>
      <c r="I30" s="286"/>
      <c r="J30" s="286"/>
      <c r="K30" s="301">
        <v>358947600</v>
      </c>
      <c r="L30" s="301"/>
      <c r="M30" s="301"/>
      <c r="N30" s="301"/>
      <c r="O30" s="301"/>
      <c r="P30" s="301"/>
      <c r="Q30" s="301"/>
      <c r="R30" s="903"/>
      <c r="S30" s="246">
        <f t="shared" si="0"/>
        <v>0</v>
      </c>
    </row>
    <row r="31" spans="1:19" ht="27" customHeight="1">
      <c r="A31" s="392">
        <v>22301</v>
      </c>
      <c r="B31" s="246" t="s">
        <v>49</v>
      </c>
      <c r="C31" s="292"/>
      <c r="D31" s="246"/>
      <c r="E31" s="292"/>
      <c r="F31" s="292"/>
      <c r="G31" s="292"/>
      <c r="H31" s="292"/>
      <c r="I31" s="292"/>
      <c r="J31" s="292"/>
      <c r="K31" s="290">
        <v>7448000</v>
      </c>
      <c r="L31" s="301">
        <v>50000000</v>
      </c>
      <c r="M31" s="301">
        <v>35000000</v>
      </c>
      <c r="N31" s="301">
        <v>50000000</v>
      </c>
      <c r="O31" s="301">
        <v>50000000</v>
      </c>
      <c r="P31" s="301">
        <v>50000000</v>
      </c>
      <c r="Q31" s="301">
        <v>70000000</v>
      </c>
      <c r="R31" s="903">
        <v>100000000</v>
      </c>
      <c r="S31" s="246">
        <f t="shared" si="0"/>
        <v>30000000</v>
      </c>
    </row>
    <row r="32" spans="1:19" ht="27" customHeight="1">
      <c r="A32" s="392">
        <v>22302</v>
      </c>
      <c r="B32" s="246" t="s">
        <v>249</v>
      </c>
      <c r="C32" s="292"/>
      <c r="D32" s="274"/>
      <c r="E32" s="292"/>
      <c r="F32" s="292"/>
      <c r="G32" s="292"/>
      <c r="H32" s="292">
        <v>398</v>
      </c>
      <c r="I32" s="292"/>
      <c r="J32" s="292"/>
      <c r="K32" s="279">
        <f>SUM(K29:K31)</f>
        <v>610145600</v>
      </c>
      <c r="L32" s="279">
        <v>0</v>
      </c>
      <c r="M32" s="279">
        <v>0</v>
      </c>
      <c r="N32" s="280">
        <v>0</v>
      </c>
      <c r="O32" s="280">
        <v>0</v>
      </c>
      <c r="P32" s="280">
        <v>0</v>
      </c>
      <c r="Q32" s="280">
        <v>0</v>
      </c>
      <c r="R32" s="851">
        <v>0</v>
      </c>
      <c r="S32" s="246">
        <f t="shared" si="0"/>
        <v>0</v>
      </c>
    </row>
    <row r="33" spans="1:19" s="567" customFormat="1" ht="27" customHeight="1">
      <c r="A33" s="392">
        <v>22313</v>
      </c>
      <c r="B33" s="246" t="s">
        <v>251</v>
      </c>
      <c r="C33" s="292"/>
      <c r="D33" s="620"/>
      <c r="E33" s="292"/>
      <c r="F33" s="292"/>
      <c r="G33" s="292"/>
      <c r="H33" s="292"/>
      <c r="I33" s="292"/>
      <c r="J33" s="292"/>
      <c r="K33" s="279" t="e">
        <f>K32+K28+#REF!+#REF!+#REF!</f>
        <v>#REF!</v>
      </c>
      <c r="L33" s="274">
        <v>7448000</v>
      </c>
      <c r="M33" s="274">
        <f t="shared" ref="M33:R33" si="5">7448000*70%</f>
        <v>5213600</v>
      </c>
      <c r="N33" s="246">
        <f t="shared" si="5"/>
        <v>5213600</v>
      </c>
      <c r="O33" s="246">
        <f t="shared" si="5"/>
        <v>5213600</v>
      </c>
      <c r="P33" s="246">
        <f t="shared" si="5"/>
        <v>5213600</v>
      </c>
      <c r="Q33" s="246">
        <f t="shared" si="5"/>
        <v>5213600</v>
      </c>
      <c r="R33" s="840">
        <f t="shared" si="5"/>
        <v>5213600</v>
      </c>
      <c r="S33" s="246">
        <f t="shared" si="0"/>
        <v>0</v>
      </c>
    </row>
    <row r="34" spans="1:19" s="621" customFormat="1" ht="27" customHeight="1">
      <c r="A34" s="392"/>
      <c r="B34" s="280" t="s">
        <v>92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79">
        <f t="shared" ref="L34:O34" si="6">SUM(L31:L33)</f>
        <v>57448000</v>
      </c>
      <c r="M34" s="279">
        <f t="shared" si="6"/>
        <v>40213600</v>
      </c>
      <c r="N34" s="280">
        <f t="shared" si="6"/>
        <v>55213600</v>
      </c>
      <c r="O34" s="280">
        <f t="shared" si="6"/>
        <v>55213600</v>
      </c>
      <c r="P34" s="280">
        <f>SUM(P31:P33)</f>
        <v>55213600</v>
      </c>
      <c r="Q34" s="280">
        <f>SUM(Q31:Q33)</f>
        <v>75213600</v>
      </c>
      <c r="R34" s="851">
        <f>SUM(R31:R33)</f>
        <v>105213600</v>
      </c>
      <c r="S34" s="280">
        <f t="shared" si="0"/>
        <v>30000000</v>
      </c>
    </row>
    <row r="35" spans="1:19" s="621" customFormat="1" ht="27" customHeight="1">
      <c r="A35" s="476">
        <v>270</v>
      </c>
      <c r="B35" s="280" t="s">
        <v>253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46"/>
      <c r="O35" s="246"/>
      <c r="P35" s="246"/>
      <c r="Q35" s="246"/>
      <c r="R35" s="840"/>
      <c r="S35" s="246">
        <f t="shared" si="0"/>
        <v>0</v>
      </c>
    </row>
    <row r="36" spans="1:19" s="621" customFormat="1" ht="27" customHeight="1">
      <c r="A36" s="476">
        <v>2710</v>
      </c>
      <c r="B36" s="280" t="s">
        <v>252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46"/>
      <c r="O36" s="246"/>
      <c r="P36" s="246"/>
      <c r="Q36" s="246"/>
      <c r="R36" s="840"/>
      <c r="S36" s="246">
        <f t="shared" si="0"/>
        <v>0</v>
      </c>
    </row>
    <row r="37" spans="1:19" s="621" customFormat="1" ht="27" customHeight="1">
      <c r="A37" s="392">
        <v>27601</v>
      </c>
      <c r="B37" s="246" t="s">
        <v>264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0">
        <v>0</v>
      </c>
      <c r="M37" s="290">
        <v>0</v>
      </c>
      <c r="N37" s="246">
        <v>0</v>
      </c>
      <c r="O37" s="246">
        <v>0</v>
      </c>
      <c r="P37" s="246">
        <v>0</v>
      </c>
      <c r="Q37" s="246">
        <v>0</v>
      </c>
      <c r="R37" s="840">
        <v>150000000</v>
      </c>
      <c r="S37" s="246">
        <f t="shared" si="0"/>
        <v>150000000</v>
      </c>
    </row>
    <row r="38" spans="1:19" s="621" customFormat="1" ht="27" customHeight="1">
      <c r="A38" s="392">
        <v>27402</v>
      </c>
      <c r="B38" s="246" t="s">
        <v>1073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0">
        <v>0</v>
      </c>
      <c r="M38" s="290">
        <v>216000000</v>
      </c>
      <c r="N38" s="246">
        <v>162000000</v>
      </c>
      <c r="O38" s="246">
        <v>120000000</v>
      </c>
      <c r="P38" s="246">
        <v>180000000</v>
      </c>
      <c r="Q38" s="246">
        <v>0</v>
      </c>
      <c r="R38" s="840">
        <v>0</v>
      </c>
      <c r="S38" s="246">
        <f t="shared" si="0"/>
        <v>0</v>
      </c>
    </row>
    <row r="39" spans="1:19" s="621" customFormat="1" ht="27" customHeight="1">
      <c r="A39" s="392">
        <v>27502</v>
      </c>
      <c r="B39" s="246" t="s">
        <v>148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0">
        <v>11505400</v>
      </c>
      <c r="M39" s="290">
        <f>11505400*70%</f>
        <v>8053779.9999999991</v>
      </c>
      <c r="N39" s="246">
        <v>0</v>
      </c>
      <c r="O39" s="246">
        <v>0</v>
      </c>
      <c r="P39" s="246">
        <v>0</v>
      </c>
      <c r="Q39" s="246">
        <v>0</v>
      </c>
      <c r="R39" s="840">
        <v>0</v>
      </c>
      <c r="S39" s="246">
        <f t="shared" si="0"/>
        <v>0</v>
      </c>
    </row>
    <row r="40" spans="1:19" s="621" customFormat="1" ht="27" customHeight="1">
      <c r="A40" s="392">
        <v>27604</v>
      </c>
      <c r="B40" s="246" t="s">
        <v>149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0">
        <v>2606800</v>
      </c>
      <c r="M40" s="290">
        <f>2606800*70%</f>
        <v>1824760</v>
      </c>
      <c r="N40" s="246">
        <v>0</v>
      </c>
      <c r="O40" s="246">
        <v>0</v>
      </c>
      <c r="P40" s="246">
        <v>0</v>
      </c>
      <c r="Q40" s="246">
        <v>0</v>
      </c>
      <c r="R40" s="840">
        <v>0</v>
      </c>
      <c r="S40" s="246">
        <f t="shared" si="0"/>
        <v>0</v>
      </c>
    </row>
    <row r="41" spans="1:19" s="621" customFormat="1" ht="27" customHeight="1">
      <c r="A41" s="392"/>
      <c r="B41" s="280" t="s">
        <v>92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1">
        <f t="shared" ref="L41:O41" si="7">SUM(L37:L40)</f>
        <v>14112200</v>
      </c>
      <c r="M41" s="291">
        <f t="shared" si="7"/>
        <v>225878540</v>
      </c>
      <c r="N41" s="280">
        <f t="shared" si="7"/>
        <v>162000000</v>
      </c>
      <c r="O41" s="280">
        <f t="shared" si="7"/>
        <v>120000000</v>
      </c>
      <c r="P41" s="280">
        <f>SUM(P37:P40)</f>
        <v>180000000</v>
      </c>
      <c r="Q41" s="280">
        <f>SUM(Q37:Q40)</f>
        <v>0</v>
      </c>
      <c r="R41" s="851">
        <f>SUM(R37:R40)</f>
        <v>150000000</v>
      </c>
      <c r="S41" s="280">
        <f t="shared" si="0"/>
        <v>150000000</v>
      </c>
    </row>
    <row r="42" spans="1:19" s="621" customFormat="1" ht="27" customHeight="1">
      <c r="A42" s="476">
        <v>2720</v>
      </c>
      <c r="B42" s="280" t="s">
        <v>502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1"/>
      <c r="M42" s="291"/>
      <c r="N42" s="280"/>
      <c r="O42" s="280"/>
      <c r="P42" s="280"/>
      <c r="Q42" s="280"/>
      <c r="R42" s="851"/>
      <c r="S42" s="246">
        <f t="shared" si="0"/>
        <v>0</v>
      </c>
    </row>
    <row r="43" spans="1:19" s="621" customFormat="1" ht="27" customHeight="1">
      <c r="A43" s="392">
        <v>27202</v>
      </c>
      <c r="B43" s="246" t="s">
        <v>1285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1"/>
      <c r="M43" s="290">
        <v>0</v>
      </c>
      <c r="N43" s="246">
        <v>0</v>
      </c>
      <c r="O43" s="246">
        <v>0</v>
      </c>
      <c r="P43" s="246">
        <v>180000000</v>
      </c>
      <c r="Q43" s="246">
        <v>1750000000</v>
      </c>
      <c r="R43" s="840">
        <v>1500000000</v>
      </c>
      <c r="S43" s="246">
        <f t="shared" si="0"/>
        <v>-250000000</v>
      </c>
    </row>
    <row r="44" spans="1:19" s="621" customFormat="1" ht="27" customHeight="1">
      <c r="A44" s="392"/>
      <c r="B44" s="280" t="s">
        <v>92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1"/>
      <c r="M44" s="290">
        <v>0</v>
      </c>
      <c r="N44" s="280">
        <f>SUM(N43:N43)</f>
        <v>0</v>
      </c>
      <c r="O44" s="280">
        <f>SUM(O43:O43)</f>
        <v>0</v>
      </c>
      <c r="P44" s="280">
        <f>SUM(P43:P43)</f>
        <v>180000000</v>
      </c>
      <c r="Q44" s="280">
        <f>SUM(Q43:Q43)</f>
        <v>1750000000</v>
      </c>
      <c r="R44" s="851">
        <f>SUM(R43:R43)</f>
        <v>1500000000</v>
      </c>
      <c r="S44" s="280">
        <f t="shared" si="0"/>
        <v>-250000000</v>
      </c>
    </row>
    <row r="45" spans="1:19" s="621" customFormat="1" ht="27" customHeight="1">
      <c r="A45" s="476">
        <v>2810</v>
      </c>
      <c r="B45" s="280" t="s">
        <v>1242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1"/>
      <c r="M45" s="290"/>
      <c r="N45" s="280"/>
      <c r="O45" s="280"/>
      <c r="P45" s="280"/>
      <c r="Q45" s="280"/>
      <c r="R45" s="851"/>
      <c r="S45" s="246">
        <f t="shared" si="0"/>
        <v>0</v>
      </c>
    </row>
    <row r="46" spans="1:19" s="621" customFormat="1" ht="27" customHeight="1">
      <c r="A46" s="392">
        <v>28102</v>
      </c>
      <c r="B46" s="246" t="s">
        <v>1178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1"/>
      <c r="M46" s="290"/>
      <c r="N46" s="280"/>
      <c r="O46" s="280"/>
      <c r="P46" s="246">
        <v>70000000</v>
      </c>
      <c r="Q46" s="246">
        <v>150000000</v>
      </c>
      <c r="R46" s="840">
        <v>137000000</v>
      </c>
      <c r="S46" s="246">
        <f t="shared" si="0"/>
        <v>-13000000</v>
      </c>
    </row>
    <row r="47" spans="1:19" s="621" customFormat="1" ht="27" customHeight="1">
      <c r="A47" s="392"/>
      <c r="B47" s="280" t="s">
        <v>92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1"/>
      <c r="M47" s="290"/>
      <c r="N47" s="280"/>
      <c r="O47" s="280"/>
      <c r="P47" s="280">
        <f>SUM(P46)</f>
        <v>70000000</v>
      </c>
      <c r="Q47" s="280">
        <f>SUM(Q46)</f>
        <v>150000000</v>
      </c>
      <c r="R47" s="851">
        <f>SUM(R46)</f>
        <v>137000000</v>
      </c>
      <c r="S47" s="280">
        <f t="shared" si="0"/>
        <v>-13000000</v>
      </c>
    </row>
    <row r="48" spans="1:19" s="621" customFormat="1" ht="27" customHeight="1">
      <c r="A48" s="392"/>
      <c r="B48" s="280" t="s">
        <v>37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79">
        <f>L41+L34+L29+L23+L9</f>
        <v>1423412800</v>
      </c>
      <c r="M48" s="279">
        <f>M41+M34+M29+M23+M9</f>
        <v>1971384180</v>
      </c>
      <c r="N48" s="280">
        <f>N44+N41+N34+N29+N23+N9</f>
        <v>2628938904</v>
      </c>
      <c r="O48" s="280">
        <f>O44+O41+O34+O29+O23+O9</f>
        <v>3883859224</v>
      </c>
      <c r="P48" s="280">
        <f>P44+P41+P34+P29+P23+P9+P47</f>
        <v>4868531064</v>
      </c>
      <c r="Q48" s="280">
        <f>Q44+Q41+Q34+Q29+Q23+Q9+Q47</f>
        <v>8525355384</v>
      </c>
      <c r="R48" s="851">
        <f>R44+R41+R34+R29+R23+R9+R47</f>
        <v>10444008920</v>
      </c>
      <c r="S48" s="280">
        <f t="shared" si="0"/>
        <v>1918653536</v>
      </c>
    </row>
    <row r="49" spans="1:19" s="621" customFormat="1" ht="27" customHeight="1">
      <c r="A49" s="622"/>
      <c r="N49" s="623"/>
      <c r="O49" s="623"/>
      <c r="P49" s="623"/>
      <c r="Q49" s="623"/>
      <c r="R49" s="623"/>
      <c r="S49" s="623"/>
    </row>
  </sheetData>
  <pageMargins left="0.7" right="0.34" top="0.75" bottom="0.55000000000000004" header="0.3" footer="0.19"/>
  <pageSetup scale="54" orientation="portrait" r:id="rId1"/>
  <headerFooter>
    <oddHeader>&amp;C&amp;"Algerian,Bold"&amp;26WASAARAdDA HAWLAHA GUUD,GAADIIKA IYO GURIYAYNTA</oddHeader>
    <oddFooter>&amp;R&amp;"Times New Roman,Bold"&amp;14 46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view="pageBreakPreview" topLeftCell="A37" zoomScale="60" workbookViewId="0">
      <selection activeCell="R59" sqref="R59"/>
    </sheetView>
  </sheetViews>
  <sheetFormatPr defaultRowHeight="18.95" customHeight="1"/>
  <cols>
    <col min="1" max="1" width="16.6640625" style="568" bestFit="1" customWidth="1"/>
    <col min="2" max="2" width="71.6640625" style="627" customWidth="1"/>
    <col min="3" max="11" width="9.33203125" style="627" hidden="1" customWidth="1"/>
    <col min="12" max="12" width="23" style="627" hidden="1" customWidth="1"/>
    <col min="13" max="13" width="25.33203125" style="627" hidden="1" customWidth="1"/>
    <col min="14" max="14" width="30.1640625" style="508" hidden="1" customWidth="1"/>
    <col min="15" max="16" width="27.6640625" style="508" hidden="1" customWidth="1"/>
    <col min="17" max="19" width="27.6640625" style="508" customWidth="1"/>
    <col min="20" max="16384" width="9.33203125" style="627"/>
  </cols>
  <sheetData>
    <row r="1" spans="1:19" ht="18.95" customHeight="1">
      <c r="A1" s="624" t="s">
        <v>39</v>
      </c>
      <c r="B1" s="625" t="s">
        <v>1018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307"/>
      <c r="O1" s="307"/>
      <c r="P1" s="307"/>
      <c r="Q1" s="307"/>
      <c r="R1" s="307"/>
      <c r="S1" s="307"/>
    </row>
    <row r="2" spans="1:19" ht="18.95" customHeight="1">
      <c r="A2" s="628" t="s">
        <v>25</v>
      </c>
      <c r="B2" s="629" t="s">
        <v>26</v>
      </c>
      <c r="C2" s="630" t="s">
        <v>26</v>
      </c>
      <c r="D2" s="630" t="s">
        <v>2</v>
      </c>
      <c r="E2" s="630" t="s">
        <v>43</v>
      </c>
      <c r="F2" s="630" t="s">
        <v>46</v>
      </c>
      <c r="G2" s="630" t="s">
        <v>55</v>
      </c>
      <c r="H2" s="630" t="s">
        <v>62</v>
      </c>
      <c r="I2" s="630" t="s">
        <v>103</v>
      </c>
      <c r="J2" s="630" t="s">
        <v>107</v>
      </c>
      <c r="K2" s="630" t="s">
        <v>115</v>
      </c>
      <c r="L2" s="630" t="s">
        <v>151</v>
      </c>
      <c r="M2" s="630" t="s">
        <v>274</v>
      </c>
      <c r="N2" s="631" t="s">
        <v>814</v>
      </c>
      <c r="O2" s="631" t="s">
        <v>874</v>
      </c>
      <c r="P2" s="631" t="s">
        <v>973</v>
      </c>
      <c r="Q2" s="631" t="s">
        <v>1160</v>
      </c>
      <c r="R2" s="631" t="s">
        <v>1320</v>
      </c>
      <c r="S2" s="631" t="s">
        <v>56</v>
      </c>
    </row>
    <row r="3" spans="1:19" ht="18.95" customHeight="1">
      <c r="A3" s="628">
        <v>210</v>
      </c>
      <c r="B3" s="308" t="s">
        <v>137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307"/>
      <c r="O3" s="307"/>
      <c r="P3" s="307"/>
      <c r="Q3" s="307"/>
      <c r="R3" s="307"/>
      <c r="S3" s="307"/>
    </row>
    <row r="4" spans="1:19" ht="18.95" customHeight="1">
      <c r="A4" s="628">
        <v>2110</v>
      </c>
      <c r="B4" s="308" t="s">
        <v>213</v>
      </c>
      <c r="C4" s="307">
        <v>165303000</v>
      </c>
      <c r="D4" s="307">
        <v>342120000</v>
      </c>
      <c r="E4" s="307">
        <v>342120000</v>
      </c>
      <c r="F4" s="307">
        <f>342120000-77808000+14760000</f>
        <v>279072000</v>
      </c>
      <c r="G4" s="307">
        <v>305892000</v>
      </c>
      <c r="H4" s="307">
        <f>305892000+19416000</f>
        <v>325308000</v>
      </c>
      <c r="I4" s="307">
        <v>434007600</v>
      </c>
      <c r="J4" s="307">
        <f>443242800+3198000+54000000+6000000</f>
        <v>506440800</v>
      </c>
      <c r="K4" s="307">
        <f>506440800+12000000+936000+5085600</f>
        <v>524462400</v>
      </c>
      <c r="L4" s="307"/>
      <c r="M4" s="307"/>
      <c r="N4" s="307"/>
      <c r="O4" s="307"/>
      <c r="P4" s="307"/>
      <c r="Q4" s="307"/>
      <c r="R4" s="307"/>
      <c r="S4" s="307"/>
    </row>
    <row r="5" spans="1:19" ht="18.95" customHeight="1">
      <c r="A5" s="632">
        <v>21101</v>
      </c>
      <c r="B5" s="307" t="s">
        <v>28</v>
      </c>
      <c r="C5" s="307">
        <v>4871000</v>
      </c>
      <c r="D5" s="307">
        <v>0</v>
      </c>
      <c r="E5" s="307">
        <v>0</v>
      </c>
      <c r="F5" s="307">
        <v>0</v>
      </c>
      <c r="G5" s="307">
        <v>0</v>
      </c>
      <c r="H5" s="307">
        <v>0</v>
      </c>
      <c r="I5" s="307">
        <v>0</v>
      </c>
      <c r="J5" s="307">
        <v>0</v>
      </c>
      <c r="K5" s="307">
        <v>0</v>
      </c>
      <c r="L5" s="307">
        <f>524462400+5085600</f>
        <v>529548000</v>
      </c>
      <c r="M5" s="307">
        <f>shaqaalaha2011!H40+36000000</f>
        <v>1392638400</v>
      </c>
      <c r="N5" s="307">
        <v>1598625600</v>
      </c>
      <c r="O5" s="307">
        <v>2158453440</v>
      </c>
      <c r="P5" s="307">
        <v>2623832640</v>
      </c>
      <c r="Q5" s="307">
        <v>2953117440</v>
      </c>
      <c r="R5" s="83">
        <v>3847944672</v>
      </c>
      <c r="S5" s="307">
        <f>R5-Q5</f>
        <v>894827232</v>
      </c>
    </row>
    <row r="6" spans="1:19" ht="18.95" customHeight="1">
      <c r="A6" s="632">
        <v>21102</v>
      </c>
      <c r="B6" s="307" t="s">
        <v>557</v>
      </c>
      <c r="C6" s="307">
        <v>10800000</v>
      </c>
      <c r="D6" s="307">
        <v>10800000</v>
      </c>
      <c r="E6" s="307">
        <v>10800000</v>
      </c>
      <c r="F6" s="307">
        <v>10800000</v>
      </c>
      <c r="G6" s="307">
        <v>14400000</v>
      </c>
      <c r="H6" s="307">
        <f>G6</f>
        <v>14400000</v>
      </c>
      <c r="I6" s="307">
        <v>14400000</v>
      </c>
      <c r="J6" s="307">
        <f>14400000+32400000+1440000</f>
        <v>48240000</v>
      </c>
      <c r="K6" s="307">
        <f>48240000+1440000+7920000+2400000</f>
        <v>60000000</v>
      </c>
      <c r="L6" s="307">
        <v>0</v>
      </c>
      <c r="M6" s="307">
        <v>0</v>
      </c>
      <c r="N6" s="307">
        <v>97200000</v>
      </c>
      <c r="O6" s="307">
        <v>97200000</v>
      </c>
      <c r="P6" s="307">
        <v>97200000</v>
      </c>
      <c r="Q6" s="723">
        <v>194400000</v>
      </c>
      <c r="R6" s="874">
        <v>291600000</v>
      </c>
      <c r="S6" s="307">
        <f t="shared" ref="S6:S59" si="0">R6-Q6</f>
        <v>97200000</v>
      </c>
    </row>
    <row r="7" spans="1:19" ht="18.95" customHeight="1">
      <c r="A7" s="632">
        <v>21103</v>
      </c>
      <c r="B7" s="307" t="s">
        <v>30</v>
      </c>
      <c r="C7" s="307"/>
      <c r="D7" s="307"/>
      <c r="E7" s="307"/>
      <c r="F7" s="307"/>
      <c r="G7" s="307">
        <v>0</v>
      </c>
      <c r="H7" s="307">
        <v>288000000</v>
      </c>
      <c r="I7" s="307">
        <v>282000000</v>
      </c>
      <c r="J7" s="307">
        <v>304200000</v>
      </c>
      <c r="K7" s="307">
        <v>0</v>
      </c>
      <c r="L7" s="307">
        <f>60000000+4800000</f>
        <v>64800000</v>
      </c>
      <c r="M7" s="307">
        <f>60000000+4800000</f>
        <v>64800000</v>
      </c>
      <c r="N7" s="307">
        <v>151200000</v>
      </c>
      <c r="O7" s="307">
        <v>216000000</v>
      </c>
      <c r="P7" s="307">
        <v>216000000</v>
      </c>
      <c r="Q7" s="723">
        <v>324000000</v>
      </c>
      <c r="R7" s="874">
        <v>396000000</v>
      </c>
      <c r="S7" s="307">
        <f t="shared" si="0"/>
        <v>72000000</v>
      </c>
    </row>
    <row r="8" spans="1:19" ht="18.95" customHeight="1">
      <c r="A8" s="632">
        <v>21105</v>
      </c>
      <c r="B8" s="307" t="s">
        <v>526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>
        <v>315600000</v>
      </c>
      <c r="N8" s="307">
        <v>576600000</v>
      </c>
      <c r="O8" s="307">
        <v>658800000</v>
      </c>
      <c r="P8" s="307">
        <v>849000000</v>
      </c>
      <c r="Q8" s="723">
        <v>1647400000</v>
      </c>
      <c r="R8" s="874">
        <v>2443000000</v>
      </c>
      <c r="S8" s="307">
        <f t="shared" si="0"/>
        <v>795600000</v>
      </c>
    </row>
    <row r="9" spans="1:19" ht="18.95" customHeight="1">
      <c r="A9" s="628">
        <v>2120</v>
      </c>
      <c r="B9" s="308" t="s">
        <v>218</v>
      </c>
      <c r="C9" s="307">
        <v>0</v>
      </c>
      <c r="D9" s="307">
        <v>30000000</v>
      </c>
      <c r="E9" s="307">
        <v>30000000</v>
      </c>
      <c r="F9" s="307">
        <v>0</v>
      </c>
      <c r="G9" s="307">
        <v>24000000</v>
      </c>
      <c r="H9" s="307">
        <v>0</v>
      </c>
      <c r="I9" s="307">
        <v>0</v>
      </c>
      <c r="J9" s="307">
        <v>30000000</v>
      </c>
      <c r="K9" s="307">
        <v>0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07">
        <v>0</v>
      </c>
      <c r="R9" s="83">
        <v>0</v>
      </c>
      <c r="S9" s="307">
        <f t="shared" si="0"/>
        <v>0</v>
      </c>
    </row>
    <row r="10" spans="1:19" ht="18.95" customHeight="1">
      <c r="A10" s="632">
        <v>21202</v>
      </c>
      <c r="B10" s="307" t="s">
        <v>478</v>
      </c>
      <c r="C10" s="307">
        <v>2700000</v>
      </c>
      <c r="D10" s="307">
        <v>8500000</v>
      </c>
      <c r="E10" s="307">
        <v>8500000</v>
      </c>
      <c r="F10" s="307">
        <v>13900000</v>
      </c>
      <c r="G10" s="307">
        <v>11120000</v>
      </c>
      <c r="H10" s="307">
        <v>13900000</v>
      </c>
      <c r="I10" s="307">
        <v>11172000</v>
      </c>
      <c r="J10" s="307">
        <v>11172000</v>
      </c>
      <c r="K10" s="307"/>
      <c r="L10" s="307">
        <v>9997000</v>
      </c>
      <c r="M10" s="307">
        <v>3192000</v>
      </c>
      <c r="N10" s="307">
        <v>0</v>
      </c>
      <c r="O10" s="307">
        <v>0</v>
      </c>
      <c r="P10" s="307">
        <v>0</v>
      </c>
      <c r="Q10" s="307">
        <v>0</v>
      </c>
      <c r="R10" s="83">
        <v>0</v>
      </c>
      <c r="S10" s="307">
        <f t="shared" si="0"/>
        <v>0</v>
      </c>
    </row>
    <row r="11" spans="1:19" ht="18.95" customHeight="1">
      <c r="A11" s="632"/>
      <c r="B11" s="308" t="s">
        <v>92</v>
      </c>
      <c r="C11" s="307">
        <v>0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8">
        <f t="shared" ref="L11:O11" si="1">SUM(L5:L10)</f>
        <v>604345000</v>
      </c>
      <c r="M11" s="308">
        <f t="shared" si="1"/>
        <v>1776230400</v>
      </c>
      <c r="N11" s="308">
        <f t="shared" si="1"/>
        <v>2423625600</v>
      </c>
      <c r="O11" s="308">
        <f t="shared" si="1"/>
        <v>3130453440</v>
      </c>
      <c r="P11" s="308">
        <f>SUM(P5:P10)</f>
        <v>3786032640</v>
      </c>
      <c r="Q11" s="308">
        <f>SUM(Q5:Q10)</f>
        <v>5118917440</v>
      </c>
      <c r="R11" s="306">
        <f>SUM(R5:R10)</f>
        <v>6978544672</v>
      </c>
      <c r="S11" s="308">
        <f t="shared" si="0"/>
        <v>1859627232</v>
      </c>
    </row>
    <row r="12" spans="1:19" ht="18.95" customHeight="1">
      <c r="A12" s="628">
        <v>220</v>
      </c>
      <c r="B12" s="308" t="s">
        <v>225</v>
      </c>
      <c r="C12" s="307">
        <v>0</v>
      </c>
      <c r="D12" s="307">
        <v>0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7"/>
      <c r="M12" s="307"/>
      <c r="N12" s="307"/>
      <c r="O12" s="307"/>
      <c r="P12" s="307"/>
      <c r="Q12" s="307"/>
      <c r="R12" s="83"/>
      <c r="S12" s="307">
        <f t="shared" si="0"/>
        <v>0</v>
      </c>
    </row>
    <row r="13" spans="1:19" ht="18.95" customHeight="1">
      <c r="A13" s="628">
        <v>2210</v>
      </c>
      <c r="B13" s="308" t="s">
        <v>226</v>
      </c>
      <c r="C13" s="307">
        <v>0</v>
      </c>
      <c r="D13" s="307">
        <v>0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20913984</v>
      </c>
      <c r="L13" s="307"/>
      <c r="M13" s="307"/>
      <c r="N13" s="307"/>
      <c r="O13" s="307"/>
      <c r="P13" s="307"/>
      <c r="Q13" s="307"/>
      <c r="R13" s="83"/>
      <c r="S13" s="307">
        <f t="shared" si="0"/>
        <v>0</v>
      </c>
    </row>
    <row r="14" spans="1:19" ht="18.95" customHeight="1">
      <c r="A14" s="632">
        <v>22101</v>
      </c>
      <c r="B14" s="307" t="s">
        <v>33</v>
      </c>
      <c r="C14" s="307">
        <v>0</v>
      </c>
      <c r="D14" s="307">
        <v>0</v>
      </c>
      <c r="E14" s="307">
        <v>0</v>
      </c>
      <c r="F14" s="307">
        <v>0</v>
      </c>
      <c r="G14" s="307">
        <v>12000000</v>
      </c>
      <c r="H14" s="307">
        <v>0</v>
      </c>
      <c r="I14" s="307">
        <v>0</v>
      </c>
      <c r="J14" s="307">
        <v>0</v>
      </c>
      <c r="K14" s="312">
        <v>7448000</v>
      </c>
      <c r="L14" s="312">
        <v>27110720</v>
      </c>
      <c r="M14" s="312">
        <f t="shared" ref="M14:Q14" si="2">27110720*70%</f>
        <v>18977504</v>
      </c>
      <c r="N14" s="312">
        <f t="shared" si="2"/>
        <v>18977504</v>
      </c>
      <c r="O14" s="312">
        <f t="shared" si="2"/>
        <v>18977504</v>
      </c>
      <c r="P14" s="312">
        <f t="shared" si="2"/>
        <v>18977504</v>
      </c>
      <c r="Q14" s="312">
        <f t="shared" si="2"/>
        <v>18977504</v>
      </c>
      <c r="R14" s="904">
        <v>70000000</v>
      </c>
      <c r="S14" s="307">
        <f t="shared" si="0"/>
        <v>51022496</v>
      </c>
    </row>
    <row r="15" spans="1:19" ht="18.95" customHeight="1">
      <c r="A15" s="632">
        <v>22102</v>
      </c>
      <c r="B15" s="307" t="s">
        <v>124</v>
      </c>
      <c r="C15" s="307">
        <v>0</v>
      </c>
      <c r="D15" s="307">
        <v>141000000</v>
      </c>
      <c r="E15" s="307">
        <v>0</v>
      </c>
      <c r="F15" s="307">
        <v>0</v>
      </c>
      <c r="G15" s="307">
        <v>0</v>
      </c>
      <c r="H15" s="307">
        <v>65000000</v>
      </c>
      <c r="I15" s="307">
        <v>0</v>
      </c>
      <c r="J15" s="307"/>
      <c r="K15" s="307">
        <v>14517642</v>
      </c>
      <c r="L15" s="307">
        <v>0</v>
      </c>
      <c r="M15" s="307">
        <v>0</v>
      </c>
      <c r="N15" s="307">
        <v>0</v>
      </c>
      <c r="O15" s="307">
        <v>0</v>
      </c>
      <c r="P15" s="307">
        <v>0</v>
      </c>
      <c r="Q15" s="307">
        <v>0</v>
      </c>
      <c r="R15" s="83">
        <v>0</v>
      </c>
      <c r="S15" s="307">
        <f t="shared" si="0"/>
        <v>0</v>
      </c>
    </row>
    <row r="16" spans="1:19" ht="18.95" customHeight="1">
      <c r="A16" s="632">
        <v>22103</v>
      </c>
      <c r="B16" s="307" t="s">
        <v>125</v>
      </c>
      <c r="C16" s="307"/>
      <c r="D16" s="307"/>
      <c r="E16" s="307"/>
      <c r="F16" s="307">
        <v>0</v>
      </c>
      <c r="G16" s="307">
        <v>3200000</v>
      </c>
      <c r="H16" s="307">
        <v>4000000</v>
      </c>
      <c r="I16" s="307">
        <v>4096400</v>
      </c>
      <c r="J16" s="307">
        <v>4096400</v>
      </c>
      <c r="K16" s="307">
        <v>64201760</v>
      </c>
      <c r="L16" s="307">
        <v>0</v>
      </c>
      <c r="M16" s="307">
        <v>0</v>
      </c>
      <c r="N16" s="307">
        <v>0</v>
      </c>
      <c r="O16" s="307">
        <v>0</v>
      </c>
      <c r="P16" s="307">
        <v>0</v>
      </c>
      <c r="Q16" s="307">
        <v>0</v>
      </c>
      <c r="R16" s="83">
        <v>0</v>
      </c>
      <c r="S16" s="307">
        <f t="shared" si="0"/>
        <v>0</v>
      </c>
    </row>
    <row r="17" spans="1:19" ht="18.95" customHeight="1">
      <c r="A17" s="632">
        <v>22104</v>
      </c>
      <c r="B17" s="307" t="s">
        <v>157</v>
      </c>
      <c r="C17" s="307"/>
      <c r="D17" s="307"/>
      <c r="E17" s="307"/>
      <c r="F17" s="307"/>
      <c r="G17" s="307"/>
      <c r="H17" s="307"/>
      <c r="I17" s="307"/>
      <c r="J17" s="307"/>
      <c r="K17" s="307">
        <v>20824608</v>
      </c>
      <c r="L17" s="307">
        <v>20913984</v>
      </c>
      <c r="M17" s="307">
        <f>L17*70%</f>
        <v>14639788.799999999</v>
      </c>
      <c r="N17" s="307">
        <f>M17</f>
        <v>14639788.799999999</v>
      </c>
      <c r="O17" s="307">
        <f>N17</f>
        <v>14639788.799999999</v>
      </c>
      <c r="P17" s="307">
        <v>19639789</v>
      </c>
      <c r="Q17" s="307">
        <v>19639789</v>
      </c>
      <c r="R17" s="83">
        <v>50000000</v>
      </c>
      <c r="S17" s="307">
        <f t="shared" si="0"/>
        <v>30360211</v>
      </c>
    </row>
    <row r="18" spans="1:19" ht="18.95" customHeight="1">
      <c r="A18" s="632">
        <v>22105</v>
      </c>
      <c r="B18" s="307" t="s">
        <v>572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>
        <v>0</v>
      </c>
      <c r="N18" s="307">
        <v>81000000</v>
      </c>
      <c r="O18" s="307">
        <v>81000000</v>
      </c>
      <c r="P18" s="307">
        <v>0</v>
      </c>
      <c r="Q18" s="307">
        <v>36000000</v>
      </c>
      <c r="R18" s="83">
        <v>36000000</v>
      </c>
      <c r="S18" s="307">
        <f t="shared" si="0"/>
        <v>0</v>
      </c>
    </row>
    <row r="19" spans="1:19" ht="18.95" customHeight="1">
      <c r="A19" s="632">
        <v>22107</v>
      </c>
      <c r="B19" s="307" t="s">
        <v>48</v>
      </c>
      <c r="C19" s="307"/>
      <c r="D19" s="307"/>
      <c r="E19" s="307"/>
      <c r="F19" s="307"/>
      <c r="G19" s="307"/>
      <c r="H19" s="307"/>
      <c r="I19" s="307"/>
      <c r="J19" s="307"/>
      <c r="K19" s="308">
        <f>SUM(K11:K17)</f>
        <v>127905994</v>
      </c>
      <c r="L19" s="307">
        <v>12448000</v>
      </c>
      <c r="M19" s="307">
        <v>8713600</v>
      </c>
      <c r="N19" s="307">
        <v>6099520</v>
      </c>
      <c r="O19" s="307">
        <f>N19</f>
        <v>6099520</v>
      </c>
      <c r="P19" s="307">
        <f>O19</f>
        <v>6099520</v>
      </c>
      <c r="Q19" s="307">
        <f>P19</f>
        <v>6099520</v>
      </c>
      <c r="R19" s="83">
        <f>Q19</f>
        <v>6099520</v>
      </c>
      <c r="S19" s="307">
        <f t="shared" si="0"/>
        <v>0</v>
      </c>
    </row>
    <row r="20" spans="1:19" ht="18.95" customHeight="1">
      <c r="A20" s="632">
        <v>22109</v>
      </c>
      <c r="B20" s="307" t="s">
        <v>136</v>
      </c>
      <c r="C20" s="307"/>
      <c r="D20" s="307"/>
      <c r="E20" s="307"/>
      <c r="F20" s="307"/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17429880</v>
      </c>
      <c r="M20" s="307">
        <f t="shared" ref="M20:R20" si="3">17429880*70%</f>
        <v>12200916</v>
      </c>
      <c r="N20" s="307">
        <f t="shared" si="3"/>
        <v>12200916</v>
      </c>
      <c r="O20" s="307">
        <f t="shared" si="3"/>
        <v>12200916</v>
      </c>
      <c r="P20" s="307">
        <f t="shared" si="3"/>
        <v>12200916</v>
      </c>
      <c r="Q20" s="307">
        <f t="shared" si="3"/>
        <v>12200916</v>
      </c>
      <c r="R20" s="83">
        <f t="shared" si="3"/>
        <v>12200916</v>
      </c>
      <c r="S20" s="307">
        <f t="shared" si="0"/>
        <v>0</v>
      </c>
    </row>
    <row r="21" spans="1:19" ht="18.95" customHeight="1">
      <c r="A21" s="632">
        <v>22112</v>
      </c>
      <c r="B21" s="307" t="s">
        <v>35</v>
      </c>
      <c r="C21" s="307"/>
      <c r="D21" s="307">
        <v>0</v>
      </c>
      <c r="E21" s="307">
        <v>0</v>
      </c>
      <c r="F21" s="307">
        <v>0</v>
      </c>
      <c r="G21" s="307">
        <v>4000000</v>
      </c>
      <c r="H21" s="307">
        <v>5000000</v>
      </c>
      <c r="I21" s="307">
        <v>3724000</v>
      </c>
      <c r="J21" s="307">
        <v>3724000</v>
      </c>
      <c r="K21" s="307">
        <v>443347200</v>
      </c>
      <c r="L21" s="307">
        <v>84201760</v>
      </c>
      <c r="M21" s="307">
        <f>84201760*70%</f>
        <v>58941231.999999993</v>
      </c>
      <c r="N21" s="307">
        <v>158941232</v>
      </c>
      <c r="O21" s="307">
        <v>258941232</v>
      </c>
      <c r="P21" s="307">
        <v>308941232</v>
      </c>
      <c r="Q21" s="307">
        <v>308941232</v>
      </c>
      <c r="R21" s="83">
        <v>358941232</v>
      </c>
      <c r="S21" s="307">
        <f t="shared" si="0"/>
        <v>50000000</v>
      </c>
    </row>
    <row r="22" spans="1:19" ht="18.95" customHeight="1">
      <c r="A22" s="632">
        <v>22136</v>
      </c>
      <c r="B22" s="307" t="s">
        <v>1180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>
        <v>30000000</v>
      </c>
      <c r="R22" s="83">
        <v>200000000</v>
      </c>
      <c r="S22" s="307">
        <f t="shared" si="0"/>
        <v>170000000</v>
      </c>
    </row>
    <row r="23" spans="1:19" ht="18.95" customHeight="1">
      <c r="A23" s="632">
        <v>22137</v>
      </c>
      <c r="B23" s="307" t="s">
        <v>1055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>
        <v>200000000</v>
      </c>
      <c r="Q23" s="307">
        <v>200000000</v>
      </c>
      <c r="R23" s="83">
        <v>200000000</v>
      </c>
      <c r="S23" s="307">
        <f t="shared" si="0"/>
        <v>0</v>
      </c>
    </row>
    <row r="24" spans="1:19" ht="18.95" customHeight="1">
      <c r="A24" s="632">
        <v>22132</v>
      </c>
      <c r="B24" s="307" t="s">
        <v>187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>
        <v>58625600</v>
      </c>
      <c r="M24" s="307">
        <f>58625600*70%</f>
        <v>41037920</v>
      </c>
      <c r="N24" s="307">
        <v>0</v>
      </c>
      <c r="O24" s="307">
        <v>0</v>
      </c>
      <c r="P24" s="307">
        <v>0</v>
      </c>
      <c r="Q24" s="307">
        <v>0</v>
      </c>
      <c r="R24" s="83">
        <v>0</v>
      </c>
      <c r="S24" s="307">
        <f t="shared" si="0"/>
        <v>0</v>
      </c>
    </row>
    <row r="25" spans="1:19" ht="18.95" customHeight="1">
      <c r="A25" s="632">
        <v>22177</v>
      </c>
      <c r="B25" s="307" t="s">
        <v>1092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>
        <v>0</v>
      </c>
      <c r="P25" s="307">
        <v>700000000</v>
      </c>
      <c r="Q25" s="307">
        <v>0</v>
      </c>
      <c r="R25" s="83">
        <v>720000000</v>
      </c>
      <c r="S25" s="307">
        <f t="shared" si="0"/>
        <v>720000000</v>
      </c>
    </row>
    <row r="26" spans="1:19" ht="18.95" customHeight="1">
      <c r="A26" s="632">
        <v>22178</v>
      </c>
      <c r="B26" s="307" t="s">
        <v>1385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>
        <v>0</v>
      </c>
      <c r="P26" s="307">
        <v>6000000000</v>
      </c>
      <c r="Q26" s="307">
        <v>1140000000</v>
      </c>
      <c r="R26" s="83">
        <v>600000000</v>
      </c>
      <c r="S26" s="307">
        <f t="shared" si="0"/>
        <v>-540000000</v>
      </c>
    </row>
    <row r="27" spans="1:19" ht="18.95" customHeight="1">
      <c r="A27" s="632"/>
      <c r="B27" s="308" t="s">
        <v>92</v>
      </c>
      <c r="C27" s="307">
        <v>1000000</v>
      </c>
      <c r="D27" s="307">
        <v>20000000</v>
      </c>
      <c r="E27" s="307">
        <v>20000000</v>
      </c>
      <c r="F27" s="307">
        <v>25000000</v>
      </c>
      <c r="G27" s="307">
        <v>22464000</v>
      </c>
      <c r="H27" s="307">
        <v>28080000</v>
      </c>
      <c r="I27" s="307">
        <v>20913984</v>
      </c>
      <c r="J27" s="307">
        <v>20913984</v>
      </c>
      <c r="K27" s="307">
        <v>0</v>
      </c>
      <c r="L27" s="308">
        <f>SUM(L14:L24)</f>
        <v>220729944</v>
      </c>
      <c r="M27" s="308">
        <f>SUM(M14:M24)</f>
        <v>154510960.79999998</v>
      </c>
      <c r="N27" s="308">
        <f>SUM(N13:N24)</f>
        <v>291858960.80000001</v>
      </c>
      <c r="O27" s="308">
        <f>SUM(O13:O26)</f>
        <v>391858960.80000001</v>
      </c>
      <c r="P27" s="308">
        <f>SUM(P14:P26)</f>
        <v>7265858961</v>
      </c>
      <c r="Q27" s="308">
        <f>SUM(Q14:Q26)</f>
        <v>1771858961</v>
      </c>
      <c r="R27" s="306">
        <f>SUM(R14:R26)</f>
        <v>2253241668</v>
      </c>
      <c r="S27" s="308">
        <f t="shared" si="0"/>
        <v>481382707</v>
      </c>
    </row>
    <row r="28" spans="1:19" ht="18.95" customHeight="1">
      <c r="A28" s="628">
        <v>2220</v>
      </c>
      <c r="B28" s="308" t="s">
        <v>240</v>
      </c>
      <c r="C28" s="307"/>
      <c r="D28" s="307"/>
      <c r="E28" s="307"/>
      <c r="F28" s="307">
        <v>0</v>
      </c>
      <c r="G28" s="307">
        <v>8000000</v>
      </c>
      <c r="H28" s="307">
        <v>10000000</v>
      </c>
      <c r="I28" s="307">
        <v>7448000</v>
      </c>
      <c r="J28" s="307">
        <v>7448000</v>
      </c>
      <c r="K28" s="307">
        <v>4096400</v>
      </c>
      <c r="L28" s="307"/>
      <c r="M28" s="307"/>
      <c r="N28" s="307"/>
      <c r="O28" s="307"/>
      <c r="P28" s="307"/>
      <c r="Q28" s="307"/>
      <c r="R28" s="83"/>
      <c r="S28" s="307">
        <f t="shared" si="0"/>
        <v>0</v>
      </c>
    </row>
    <row r="29" spans="1:19" ht="18.95" customHeight="1">
      <c r="A29" s="632">
        <v>22201</v>
      </c>
      <c r="B29" s="307" t="s">
        <v>132</v>
      </c>
      <c r="C29" s="307"/>
      <c r="D29" s="307"/>
      <c r="E29" s="307"/>
      <c r="F29" s="307"/>
      <c r="G29" s="307"/>
      <c r="H29" s="307"/>
      <c r="I29" s="307"/>
      <c r="J29" s="307"/>
      <c r="K29" s="307">
        <v>2979200</v>
      </c>
      <c r="L29" s="307">
        <v>0</v>
      </c>
      <c r="M29" s="307">
        <v>0</v>
      </c>
      <c r="N29" s="307">
        <v>50000000</v>
      </c>
      <c r="O29" s="307">
        <v>50000000</v>
      </c>
      <c r="P29" s="307">
        <v>50000000</v>
      </c>
      <c r="Q29" s="307">
        <v>50000000</v>
      </c>
      <c r="R29" s="83">
        <v>50000000</v>
      </c>
      <c r="S29" s="307">
        <f t="shared" si="0"/>
        <v>0</v>
      </c>
    </row>
    <row r="30" spans="1:19" ht="18.95" customHeight="1">
      <c r="A30" s="632">
        <v>22202</v>
      </c>
      <c r="B30" s="307" t="s">
        <v>133</v>
      </c>
      <c r="C30" s="307"/>
      <c r="D30" s="307"/>
      <c r="E30" s="307">
        <v>0</v>
      </c>
      <c r="F30" s="307">
        <v>27960000</v>
      </c>
      <c r="G30" s="307">
        <v>27960000</v>
      </c>
      <c r="H30" s="307">
        <v>27960000</v>
      </c>
      <c r="I30" s="307">
        <v>20824608</v>
      </c>
      <c r="J30" s="307">
        <v>20824608</v>
      </c>
      <c r="K30" s="308">
        <f>SUM(K27:K29)</f>
        <v>7075600</v>
      </c>
      <c r="L30" s="307">
        <v>787684000</v>
      </c>
      <c r="M30" s="307">
        <f>787684000</f>
        <v>787684000</v>
      </c>
      <c r="N30" s="307">
        <v>680147200</v>
      </c>
      <c r="O30" s="307">
        <v>880147200</v>
      </c>
      <c r="P30" s="307">
        <v>880147200</v>
      </c>
      <c r="Q30" s="307">
        <v>880147200</v>
      </c>
      <c r="R30" s="83">
        <v>980147200</v>
      </c>
      <c r="S30" s="307">
        <f t="shared" si="0"/>
        <v>100000000</v>
      </c>
    </row>
    <row r="31" spans="1:19" ht="18.95" customHeight="1">
      <c r="A31" s="632">
        <v>22202</v>
      </c>
      <c r="B31" s="307" t="s">
        <v>573</v>
      </c>
      <c r="C31" s="307"/>
      <c r="D31" s="307"/>
      <c r="E31" s="307"/>
      <c r="F31" s="307"/>
      <c r="G31" s="307"/>
      <c r="H31" s="307"/>
      <c r="I31" s="307"/>
      <c r="J31" s="307"/>
      <c r="K31" s="308"/>
      <c r="L31" s="307"/>
      <c r="M31" s="307">
        <v>0</v>
      </c>
      <c r="N31" s="307">
        <v>126650000</v>
      </c>
      <c r="O31" s="307">
        <v>176650000</v>
      </c>
      <c r="P31" s="307">
        <v>176650000</v>
      </c>
      <c r="Q31" s="307">
        <v>176650000</v>
      </c>
      <c r="R31" s="83">
        <v>176650000</v>
      </c>
      <c r="S31" s="307">
        <f t="shared" si="0"/>
        <v>0</v>
      </c>
    </row>
    <row r="32" spans="1:19" ht="18.95" customHeight="1">
      <c r="A32" s="632">
        <v>22203</v>
      </c>
      <c r="B32" s="307" t="s">
        <v>127</v>
      </c>
      <c r="C32" s="307">
        <v>0</v>
      </c>
      <c r="D32" s="307">
        <v>134933200</v>
      </c>
      <c r="E32" s="307">
        <v>392992000</v>
      </c>
      <c r="F32" s="307">
        <v>252083954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16172000</v>
      </c>
      <c r="M32" s="307">
        <v>11320400</v>
      </c>
      <c r="N32" s="307">
        <v>11320400</v>
      </c>
      <c r="O32" s="307">
        <v>11320400</v>
      </c>
      <c r="P32" s="307">
        <v>11320400</v>
      </c>
      <c r="Q32" s="307">
        <v>11320400</v>
      </c>
      <c r="R32" s="83">
        <v>11320400</v>
      </c>
      <c r="S32" s="307">
        <f t="shared" si="0"/>
        <v>0</v>
      </c>
    </row>
    <row r="33" spans="1:19" ht="18.95" customHeight="1">
      <c r="A33" s="632">
        <v>22204</v>
      </c>
      <c r="B33" s="307" t="s">
        <v>128</v>
      </c>
      <c r="C33" s="631">
        <f t="shared" ref="C33:J33" si="4">SUM(C27:C32)</f>
        <v>1000000</v>
      </c>
      <c r="D33" s="631">
        <f t="shared" si="4"/>
        <v>154933200</v>
      </c>
      <c r="E33" s="631">
        <f t="shared" si="4"/>
        <v>412992000</v>
      </c>
      <c r="F33" s="631">
        <f t="shared" si="4"/>
        <v>305043954</v>
      </c>
      <c r="G33" s="631">
        <f t="shared" si="4"/>
        <v>58424000</v>
      </c>
      <c r="H33" s="631">
        <f t="shared" si="4"/>
        <v>66040000</v>
      </c>
      <c r="I33" s="631">
        <f t="shared" si="4"/>
        <v>49186592</v>
      </c>
      <c r="J33" s="631">
        <f t="shared" si="4"/>
        <v>49186592</v>
      </c>
      <c r="K33" s="312">
        <v>74480000</v>
      </c>
      <c r="L33" s="312">
        <v>12448000</v>
      </c>
      <c r="M33" s="312">
        <f t="shared" ref="M33:R33" si="5">12448000*70%</f>
        <v>8713600</v>
      </c>
      <c r="N33" s="312">
        <f t="shared" si="5"/>
        <v>8713600</v>
      </c>
      <c r="O33" s="312">
        <f t="shared" si="5"/>
        <v>8713600</v>
      </c>
      <c r="P33" s="312">
        <f t="shared" si="5"/>
        <v>8713600</v>
      </c>
      <c r="Q33" s="312">
        <f t="shared" si="5"/>
        <v>8713600</v>
      </c>
      <c r="R33" s="904">
        <f t="shared" si="5"/>
        <v>8713600</v>
      </c>
      <c r="S33" s="307">
        <f t="shared" si="0"/>
        <v>0</v>
      </c>
    </row>
    <row r="34" spans="1:19" ht="18.95" customHeight="1">
      <c r="A34" s="632"/>
      <c r="B34" s="308" t="s">
        <v>92</v>
      </c>
      <c r="C34" s="626"/>
      <c r="D34" s="633" t="s">
        <v>4</v>
      </c>
      <c r="E34" s="626"/>
      <c r="F34" s="633">
        <f>SUM(F24:F33)</f>
        <v>610087908</v>
      </c>
      <c r="G34" s="633"/>
      <c r="H34" s="633"/>
      <c r="I34" s="633"/>
      <c r="J34" s="633"/>
      <c r="K34" s="634">
        <f>SUM(K32:K33)</f>
        <v>74480000</v>
      </c>
      <c r="L34" s="634">
        <f t="shared" ref="L34:O34" si="6">SUM(L29:L33)</f>
        <v>816304000</v>
      </c>
      <c r="M34" s="634">
        <f t="shared" si="6"/>
        <v>807718000</v>
      </c>
      <c r="N34" s="308">
        <f t="shared" si="6"/>
        <v>876831200</v>
      </c>
      <c r="O34" s="308">
        <f t="shared" si="6"/>
        <v>1126831200</v>
      </c>
      <c r="P34" s="308">
        <f>SUM(P29:P33)</f>
        <v>1126831200</v>
      </c>
      <c r="Q34" s="308">
        <f>SUM(Q29:Q33)</f>
        <v>1126831200</v>
      </c>
      <c r="R34" s="306">
        <f>SUM(R29:R33)</f>
        <v>1226831200</v>
      </c>
      <c r="S34" s="308">
        <f t="shared" si="0"/>
        <v>100000000</v>
      </c>
    </row>
    <row r="35" spans="1:19" ht="18.95" customHeight="1">
      <c r="A35" s="628">
        <v>2230</v>
      </c>
      <c r="B35" s="308" t="s">
        <v>130</v>
      </c>
      <c r="C35" s="626"/>
      <c r="D35" s="626"/>
      <c r="E35" s="626"/>
      <c r="F35" s="626"/>
      <c r="G35" s="626"/>
      <c r="H35" s="626"/>
      <c r="I35" s="626"/>
      <c r="J35" s="626"/>
      <c r="K35" s="634" t="e">
        <f>K34+K30+#REF!+K19+#REF!</f>
        <v>#REF!</v>
      </c>
      <c r="L35" s="634"/>
      <c r="M35" s="634"/>
      <c r="N35" s="308"/>
      <c r="O35" s="308"/>
      <c r="P35" s="308"/>
      <c r="Q35" s="308"/>
      <c r="R35" s="306"/>
      <c r="S35" s="307">
        <f t="shared" si="0"/>
        <v>0</v>
      </c>
    </row>
    <row r="36" spans="1:19" ht="18.95" customHeight="1">
      <c r="A36" s="632">
        <v>22301</v>
      </c>
      <c r="B36" s="307" t="s">
        <v>49</v>
      </c>
      <c r="C36" s="626"/>
      <c r="D36" s="626"/>
      <c r="E36" s="626"/>
      <c r="F36" s="626">
        <f>1386274192-71600000-798000-176160000-12600000</f>
        <v>1125116192</v>
      </c>
      <c r="G36" s="626"/>
      <c r="H36" s="626"/>
      <c r="I36" s="626"/>
      <c r="J36" s="626"/>
      <c r="K36" s="626"/>
      <c r="L36" s="635">
        <v>84480000</v>
      </c>
      <c r="M36" s="635">
        <v>59136000</v>
      </c>
      <c r="N36" s="307">
        <v>69136000</v>
      </c>
      <c r="O36" s="307">
        <v>69136000</v>
      </c>
      <c r="P36" s="307">
        <v>69136000</v>
      </c>
      <c r="Q36" s="307">
        <v>69136000</v>
      </c>
      <c r="R36" s="83">
        <v>120000000</v>
      </c>
      <c r="S36" s="307">
        <f t="shared" si="0"/>
        <v>50864000</v>
      </c>
    </row>
    <row r="37" spans="1:19" ht="18.95" customHeight="1">
      <c r="A37" s="632">
        <v>22302</v>
      </c>
      <c r="B37" s="307" t="s">
        <v>249</v>
      </c>
      <c r="C37" s="626"/>
      <c r="D37" s="626"/>
      <c r="E37" s="626"/>
      <c r="F37" s="633">
        <v>1420744824</v>
      </c>
      <c r="G37" s="633"/>
      <c r="H37" s="633"/>
      <c r="I37" s="633"/>
      <c r="J37" s="633"/>
      <c r="K37" s="633"/>
      <c r="L37" s="635">
        <v>0</v>
      </c>
      <c r="M37" s="635">
        <v>0</v>
      </c>
      <c r="N37" s="307">
        <v>0</v>
      </c>
      <c r="O37" s="307">
        <v>0</v>
      </c>
      <c r="P37" s="307">
        <v>0</v>
      </c>
      <c r="Q37" s="307">
        <v>0</v>
      </c>
      <c r="R37" s="83">
        <v>0</v>
      </c>
      <c r="S37" s="307">
        <f t="shared" si="0"/>
        <v>0</v>
      </c>
    </row>
    <row r="38" spans="1:19" ht="18.95" customHeight="1">
      <c r="A38" s="632">
        <v>22305</v>
      </c>
      <c r="B38" s="307" t="s">
        <v>1326</v>
      </c>
      <c r="C38" s="626"/>
      <c r="D38" s="626"/>
      <c r="E38" s="626"/>
      <c r="F38" s="633" t="e">
        <f>F37-#REF!</f>
        <v>#REF!</v>
      </c>
      <c r="G38" s="633"/>
      <c r="H38" s="633"/>
      <c r="I38" s="633"/>
      <c r="J38" s="633"/>
      <c r="K38" s="633"/>
      <c r="L38" s="635">
        <v>140000000</v>
      </c>
      <c r="M38" s="635">
        <f t="shared" ref="M38:R38" si="7">140000000*70%</f>
        <v>98000000</v>
      </c>
      <c r="N38" s="307">
        <f t="shared" si="7"/>
        <v>98000000</v>
      </c>
      <c r="O38" s="307">
        <f t="shared" si="7"/>
        <v>98000000</v>
      </c>
      <c r="P38" s="307">
        <f t="shared" si="7"/>
        <v>98000000</v>
      </c>
      <c r="Q38" s="307">
        <f t="shared" si="7"/>
        <v>98000000</v>
      </c>
      <c r="R38" s="83">
        <f t="shared" si="7"/>
        <v>98000000</v>
      </c>
      <c r="S38" s="307">
        <f t="shared" si="0"/>
        <v>0</v>
      </c>
    </row>
    <row r="39" spans="1:19" ht="18.95" customHeight="1">
      <c r="A39" s="632">
        <v>22313</v>
      </c>
      <c r="B39" s="307" t="s">
        <v>251</v>
      </c>
      <c r="C39" s="626"/>
      <c r="D39" s="626"/>
      <c r="E39" s="626"/>
      <c r="F39" s="626"/>
      <c r="G39" s="626"/>
      <c r="H39" s="626"/>
      <c r="I39" s="626"/>
      <c r="J39" s="626"/>
      <c r="K39" s="626"/>
      <c r="L39" s="635">
        <v>3724000</v>
      </c>
      <c r="M39" s="635">
        <f t="shared" ref="M39:R39" si="8">3724000*70%</f>
        <v>2606800</v>
      </c>
      <c r="N39" s="307">
        <f t="shared" si="8"/>
        <v>2606800</v>
      </c>
      <c r="O39" s="307">
        <f t="shared" si="8"/>
        <v>2606800</v>
      </c>
      <c r="P39" s="307">
        <f t="shared" si="8"/>
        <v>2606800</v>
      </c>
      <c r="Q39" s="307">
        <f t="shared" si="8"/>
        <v>2606800</v>
      </c>
      <c r="R39" s="83">
        <f t="shared" si="8"/>
        <v>2606800</v>
      </c>
      <c r="S39" s="307">
        <f t="shared" si="0"/>
        <v>0</v>
      </c>
    </row>
    <row r="40" spans="1:19" ht="18.95" customHeight="1">
      <c r="A40" s="632"/>
      <c r="B40" s="308" t="s">
        <v>92</v>
      </c>
      <c r="C40" s="626"/>
      <c r="D40" s="626"/>
      <c r="E40" s="626"/>
      <c r="F40" s="626"/>
      <c r="G40" s="626"/>
      <c r="H40" s="626"/>
      <c r="I40" s="626"/>
      <c r="J40" s="626"/>
      <c r="K40" s="626"/>
      <c r="L40" s="636">
        <f t="shared" ref="L40:O40" si="9">SUM(L36:L39)</f>
        <v>228204000</v>
      </c>
      <c r="M40" s="636">
        <f t="shared" si="9"/>
        <v>159742800</v>
      </c>
      <c r="N40" s="308">
        <f t="shared" si="9"/>
        <v>169742800</v>
      </c>
      <c r="O40" s="308">
        <f t="shared" si="9"/>
        <v>169742800</v>
      </c>
      <c r="P40" s="308">
        <f>SUM(P36:P39)</f>
        <v>169742800</v>
      </c>
      <c r="Q40" s="308">
        <f>SUM(Q36:Q39)</f>
        <v>169742800</v>
      </c>
      <c r="R40" s="306">
        <f>SUM(R36:R39)</f>
        <v>220606800</v>
      </c>
      <c r="S40" s="308">
        <f t="shared" si="0"/>
        <v>50864000</v>
      </c>
    </row>
    <row r="41" spans="1:19" ht="18.95" customHeight="1">
      <c r="A41" s="628">
        <v>270</v>
      </c>
      <c r="B41" s="308" t="s">
        <v>253</v>
      </c>
      <c r="C41" s="626"/>
      <c r="D41" s="626"/>
      <c r="E41" s="626"/>
      <c r="F41" s="626"/>
      <c r="G41" s="626"/>
      <c r="H41" s="626"/>
      <c r="I41" s="626"/>
      <c r="J41" s="626"/>
      <c r="K41" s="626"/>
      <c r="L41" s="635"/>
      <c r="M41" s="635"/>
      <c r="N41" s="307"/>
      <c r="O41" s="307"/>
      <c r="P41" s="307"/>
      <c r="Q41" s="307"/>
      <c r="R41" s="83"/>
      <c r="S41" s="307">
        <f t="shared" si="0"/>
        <v>0</v>
      </c>
    </row>
    <row r="42" spans="1:19" ht="18.95" customHeight="1">
      <c r="A42" s="628">
        <v>2710</v>
      </c>
      <c r="B42" s="308" t="s">
        <v>252</v>
      </c>
      <c r="C42" s="626"/>
      <c r="D42" s="626"/>
      <c r="E42" s="626"/>
      <c r="F42" s="626"/>
      <c r="G42" s="626"/>
      <c r="H42" s="626"/>
      <c r="I42" s="626"/>
      <c r="J42" s="626"/>
      <c r="K42" s="626"/>
      <c r="L42" s="635"/>
      <c r="M42" s="635"/>
      <c r="N42" s="307"/>
      <c r="O42" s="307"/>
      <c r="P42" s="307"/>
      <c r="Q42" s="307"/>
      <c r="R42" s="83"/>
      <c r="S42" s="307">
        <f t="shared" si="0"/>
        <v>0</v>
      </c>
    </row>
    <row r="43" spans="1:19" ht="18.95" customHeight="1">
      <c r="A43" s="632">
        <v>27601</v>
      </c>
      <c r="B43" s="307" t="s">
        <v>264</v>
      </c>
      <c r="C43" s="626"/>
      <c r="D43" s="626"/>
      <c r="E43" s="626"/>
      <c r="F43" s="626"/>
      <c r="G43" s="626"/>
      <c r="H43" s="626"/>
      <c r="I43" s="626"/>
      <c r="J43" s="626"/>
      <c r="K43" s="626"/>
      <c r="L43" s="635"/>
      <c r="M43" s="635"/>
      <c r="N43" s="307">
        <v>120000000</v>
      </c>
      <c r="O43" s="307">
        <v>120000000</v>
      </c>
      <c r="P43" s="307">
        <v>60000000</v>
      </c>
      <c r="Q43" s="307">
        <v>60000000</v>
      </c>
      <c r="R43" s="83">
        <v>60000000</v>
      </c>
      <c r="S43" s="307">
        <f t="shared" si="0"/>
        <v>0</v>
      </c>
    </row>
    <row r="44" spans="1:19" ht="18.95" customHeight="1">
      <c r="A44" s="632">
        <v>27402</v>
      </c>
      <c r="B44" s="307" t="s">
        <v>1202</v>
      </c>
      <c r="C44" s="626"/>
      <c r="D44" s="626"/>
      <c r="E44" s="626"/>
      <c r="F44" s="626"/>
      <c r="G44" s="626"/>
      <c r="H44" s="626"/>
      <c r="I44" s="626"/>
      <c r="J44" s="626"/>
      <c r="K44" s="626"/>
      <c r="L44" s="635"/>
      <c r="M44" s="635"/>
      <c r="N44" s="307"/>
      <c r="O44" s="307"/>
      <c r="P44" s="307"/>
      <c r="Q44" s="307">
        <v>300000000</v>
      </c>
      <c r="R44" s="83">
        <v>330000000</v>
      </c>
      <c r="S44" s="307">
        <f t="shared" si="0"/>
        <v>30000000</v>
      </c>
    </row>
    <row r="45" spans="1:19" ht="18.95" customHeight="1">
      <c r="A45" s="632">
        <v>27502</v>
      </c>
      <c r="B45" s="307" t="s">
        <v>148</v>
      </c>
      <c r="C45" s="626"/>
      <c r="D45" s="626"/>
      <c r="E45" s="626"/>
      <c r="F45" s="626"/>
      <c r="G45" s="626"/>
      <c r="H45" s="626"/>
      <c r="I45" s="626"/>
      <c r="J45" s="626"/>
      <c r="K45" s="626"/>
      <c r="L45" s="635">
        <v>4096400</v>
      </c>
      <c r="M45" s="635">
        <f>4096400*70%</f>
        <v>2867480</v>
      </c>
      <c r="N45" s="307">
        <v>0</v>
      </c>
      <c r="O45" s="307">
        <v>0</v>
      </c>
      <c r="P45" s="307">
        <v>0</v>
      </c>
      <c r="Q45" s="307">
        <v>0</v>
      </c>
      <c r="R45" s="83">
        <v>0</v>
      </c>
      <c r="S45" s="307">
        <f t="shared" si="0"/>
        <v>0</v>
      </c>
    </row>
    <row r="46" spans="1:19" ht="18.95" customHeight="1">
      <c r="A46" s="632">
        <v>27604</v>
      </c>
      <c r="B46" s="307" t="s">
        <v>149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35">
        <v>2979200</v>
      </c>
      <c r="M46" s="635">
        <f>2979200*70%</f>
        <v>2085439.9999999998</v>
      </c>
      <c r="N46" s="307">
        <v>0</v>
      </c>
      <c r="O46" s="307">
        <v>0</v>
      </c>
      <c r="P46" s="307">
        <v>0</v>
      </c>
      <c r="Q46" s="307">
        <v>0</v>
      </c>
      <c r="R46" s="83">
        <v>0</v>
      </c>
      <c r="S46" s="307">
        <f t="shared" si="0"/>
        <v>0</v>
      </c>
    </row>
    <row r="47" spans="1:19" ht="18.95" customHeight="1">
      <c r="A47" s="632"/>
      <c r="B47" s="308" t="s">
        <v>92</v>
      </c>
      <c r="C47" s="626"/>
      <c r="D47" s="626"/>
      <c r="E47" s="626"/>
      <c r="F47" s="626"/>
      <c r="G47" s="626"/>
      <c r="H47" s="626"/>
      <c r="I47" s="626"/>
      <c r="J47" s="626"/>
      <c r="K47" s="626"/>
      <c r="L47" s="636">
        <f>SUM(L45:L46)</f>
        <v>7075600</v>
      </c>
      <c r="M47" s="636">
        <f>SUM(M45:M46)</f>
        <v>4952920</v>
      </c>
      <c r="N47" s="308">
        <f>SUM(N43:N46)</f>
        <v>120000000</v>
      </c>
      <c r="O47" s="308">
        <f>SUM(O43:O46)</f>
        <v>120000000</v>
      </c>
      <c r="P47" s="308">
        <f>SUM(P43:P46)</f>
        <v>60000000</v>
      </c>
      <c r="Q47" s="308">
        <f>SUM(Q43:Q46)</f>
        <v>360000000</v>
      </c>
      <c r="R47" s="306">
        <f>SUM(R43:R46)</f>
        <v>390000000</v>
      </c>
      <c r="S47" s="308">
        <f t="shared" si="0"/>
        <v>30000000</v>
      </c>
    </row>
    <row r="48" spans="1:19" ht="18.95" customHeight="1">
      <c r="A48" s="637">
        <v>2630</v>
      </c>
      <c r="B48" s="638" t="s">
        <v>426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83"/>
      <c r="S48" s="307">
        <f t="shared" si="0"/>
        <v>0</v>
      </c>
    </row>
    <row r="49" spans="1:19" ht="18.95" customHeight="1">
      <c r="A49" s="632">
        <v>26301</v>
      </c>
      <c r="B49" s="307" t="s">
        <v>312</v>
      </c>
      <c r="C49" s="308"/>
      <c r="D49" s="308"/>
      <c r="E49" s="308"/>
      <c r="F49" s="308"/>
      <c r="G49" s="308"/>
      <c r="H49" s="308"/>
      <c r="I49" s="308"/>
      <c r="J49" s="308"/>
      <c r="K49" s="307"/>
      <c r="L49" s="307">
        <v>20824000</v>
      </c>
      <c r="M49" s="307">
        <f>20824000*70%</f>
        <v>14576800</v>
      </c>
      <c r="N49" s="307">
        <v>0</v>
      </c>
      <c r="O49" s="307">
        <v>20000000</v>
      </c>
      <c r="P49" s="307">
        <v>20000000</v>
      </c>
      <c r="Q49" s="307">
        <v>20000000</v>
      </c>
      <c r="R49" s="83">
        <v>20000000</v>
      </c>
      <c r="S49" s="307">
        <f t="shared" si="0"/>
        <v>0</v>
      </c>
    </row>
    <row r="50" spans="1:19" ht="18.95" customHeight="1">
      <c r="A50" s="632"/>
      <c r="B50" s="308" t="s">
        <v>92</v>
      </c>
      <c r="C50" s="307"/>
      <c r="D50" s="307"/>
      <c r="E50" s="307"/>
      <c r="F50" s="307"/>
      <c r="G50" s="307"/>
      <c r="H50" s="307"/>
      <c r="I50" s="307"/>
      <c r="J50" s="308">
        <f t="shared" ref="J50:O50" si="10">SUM(J49)</f>
        <v>0</v>
      </c>
      <c r="K50" s="308">
        <f t="shared" si="10"/>
        <v>0</v>
      </c>
      <c r="L50" s="308">
        <f t="shared" si="10"/>
        <v>20824000</v>
      </c>
      <c r="M50" s="308">
        <f t="shared" si="10"/>
        <v>14576800</v>
      </c>
      <c r="N50" s="308">
        <f t="shared" si="10"/>
        <v>0</v>
      </c>
      <c r="O50" s="308">
        <f t="shared" si="10"/>
        <v>20000000</v>
      </c>
      <c r="P50" s="308">
        <f>SUM(P49)</f>
        <v>20000000</v>
      </c>
      <c r="Q50" s="308">
        <f>SUM(Q49)</f>
        <v>20000000</v>
      </c>
      <c r="R50" s="306">
        <f>SUM(R49)</f>
        <v>20000000</v>
      </c>
      <c r="S50" s="308">
        <f t="shared" si="0"/>
        <v>0</v>
      </c>
    </row>
    <row r="51" spans="1:19" ht="18.95" customHeight="1">
      <c r="A51" s="628">
        <v>2720</v>
      </c>
      <c r="B51" s="308" t="s">
        <v>502</v>
      </c>
      <c r="C51" s="307"/>
      <c r="D51" s="307"/>
      <c r="E51" s="307"/>
      <c r="F51" s="307"/>
      <c r="G51" s="307"/>
      <c r="H51" s="307"/>
      <c r="I51" s="307"/>
      <c r="J51" s="308"/>
      <c r="K51" s="308"/>
      <c r="L51" s="308"/>
      <c r="M51" s="307">
        <v>0</v>
      </c>
      <c r="N51" s="307"/>
      <c r="O51" s="307"/>
      <c r="P51" s="307"/>
      <c r="Q51" s="307"/>
      <c r="R51" s="83"/>
      <c r="S51" s="307">
        <f t="shared" si="0"/>
        <v>0</v>
      </c>
    </row>
    <row r="52" spans="1:19" ht="18.95" customHeight="1">
      <c r="A52" s="632">
        <v>27202</v>
      </c>
      <c r="B52" s="307" t="s">
        <v>469</v>
      </c>
      <c r="C52" s="307"/>
      <c r="D52" s="307"/>
      <c r="E52" s="307"/>
      <c r="F52" s="307"/>
      <c r="G52" s="307"/>
      <c r="H52" s="307"/>
      <c r="I52" s="307"/>
      <c r="J52" s="308"/>
      <c r="K52" s="308"/>
      <c r="L52" s="308"/>
      <c r="M52" s="307">
        <v>0</v>
      </c>
      <c r="N52" s="307">
        <v>1650000000</v>
      </c>
      <c r="O52" s="307">
        <v>0</v>
      </c>
      <c r="P52" s="307">
        <v>0</v>
      </c>
      <c r="Q52" s="307">
        <v>0</v>
      </c>
      <c r="R52" s="83">
        <v>0</v>
      </c>
      <c r="S52" s="307">
        <f t="shared" si="0"/>
        <v>0</v>
      </c>
    </row>
    <row r="53" spans="1:19" ht="18.95" customHeight="1">
      <c r="A53" s="632">
        <v>27207</v>
      </c>
      <c r="B53" s="307" t="s">
        <v>564</v>
      </c>
      <c r="C53" s="307"/>
      <c r="D53" s="307"/>
      <c r="E53" s="307"/>
      <c r="F53" s="307"/>
      <c r="G53" s="307"/>
      <c r="H53" s="307"/>
      <c r="I53" s="307"/>
      <c r="J53" s="308"/>
      <c r="K53" s="308"/>
      <c r="L53" s="308"/>
      <c r="M53" s="307">
        <v>0</v>
      </c>
      <c r="N53" s="307"/>
      <c r="O53" s="307">
        <v>0</v>
      </c>
      <c r="P53" s="307">
        <v>0</v>
      </c>
      <c r="Q53" s="307">
        <v>0</v>
      </c>
      <c r="R53" s="83">
        <v>0</v>
      </c>
      <c r="S53" s="307">
        <f t="shared" si="0"/>
        <v>0</v>
      </c>
    </row>
    <row r="54" spans="1:19" ht="18.95" customHeight="1">
      <c r="A54" s="632">
        <v>27207</v>
      </c>
      <c r="B54" s="307" t="s">
        <v>893</v>
      </c>
      <c r="C54" s="307"/>
      <c r="D54" s="307"/>
      <c r="E54" s="307"/>
      <c r="F54" s="307"/>
      <c r="G54" s="307"/>
      <c r="H54" s="307"/>
      <c r="I54" s="307"/>
      <c r="J54" s="308"/>
      <c r="K54" s="308"/>
      <c r="L54" s="308"/>
      <c r="M54" s="307"/>
      <c r="N54" s="307">
        <v>0</v>
      </c>
      <c r="O54" s="307">
        <v>0</v>
      </c>
      <c r="P54" s="307">
        <v>0</v>
      </c>
      <c r="Q54" s="307">
        <v>0</v>
      </c>
      <c r="R54" s="83">
        <v>0</v>
      </c>
      <c r="S54" s="307">
        <f t="shared" si="0"/>
        <v>0</v>
      </c>
    </row>
    <row r="55" spans="1:19" ht="18.95" customHeight="1">
      <c r="A55" s="632"/>
      <c r="B55" s="308" t="s">
        <v>92</v>
      </c>
      <c r="C55" s="307"/>
      <c r="D55" s="307"/>
      <c r="E55" s="307"/>
      <c r="F55" s="307"/>
      <c r="G55" s="307"/>
      <c r="H55" s="307"/>
      <c r="I55" s="307"/>
      <c r="J55" s="308"/>
      <c r="K55" s="308"/>
      <c r="L55" s="308"/>
      <c r="M55" s="308"/>
      <c r="N55" s="308">
        <f>SUM(N52:N53)</f>
        <v>1650000000</v>
      </c>
      <c r="O55" s="308">
        <f>SUM(O53:O54)</f>
        <v>0</v>
      </c>
      <c r="P55" s="308">
        <f>SUM(P52:P54)</f>
        <v>0</v>
      </c>
      <c r="Q55" s="308">
        <f>SUM(Q52:Q54)</f>
        <v>0</v>
      </c>
      <c r="R55" s="306">
        <f>SUM(R52:R54)</f>
        <v>0</v>
      </c>
      <c r="S55" s="307">
        <f t="shared" si="0"/>
        <v>0</v>
      </c>
    </row>
    <row r="56" spans="1:19" ht="18.95" customHeight="1">
      <c r="A56" s="628">
        <v>2810</v>
      </c>
      <c r="B56" s="308" t="s">
        <v>1243</v>
      </c>
      <c r="C56" s="307"/>
      <c r="D56" s="307"/>
      <c r="E56" s="307"/>
      <c r="F56" s="307"/>
      <c r="G56" s="307"/>
      <c r="H56" s="307"/>
      <c r="I56" s="307"/>
      <c r="J56" s="308"/>
      <c r="K56" s="308"/>
      <c r="L56" s="308"/>
      <c r="M56" s="308"/>
      <c r="N56" s="308"/>
      <c r="O56" s="308"/>
      <c r="P56" s="308"/>
      <c r="Q56" s="308"/>
      <c r="R56" s="306"/>
      <c r="S56" s="307">
        <f t="shared" si="0"/>
        <v>0</v>
      </c>
    </row>
    <row r="57" spans="1:19" ht="18.95" customHeight="1">
      <c r="A57" s="632">
        <v>28102</v>
      </c>
      <c r="B57" s="307" t="s">
        <v>1387</v>
      </c>
      <c r="C57" s="307"/>
      <c r="D57" s="307"/>
      <c r="E57" s="307"/>
      <c r="F57" s="307"/>
      <c r="G57" s="307"/>
      <c r="H57" s="307"/>
      <c r="I57" s="307"/>
      <c r="J57" s="308"/>
      <c r="K57" s="308"/>
      <c r="L57" s="308"/>
      <c r="M57" s="308"/>
      <c r="N57" s="308"/>
      <c r="O57" s="308"/>
      <c r="P57" s="307">
        <v>778218000</v>
      </c>
      <c r="Q57" s="307">
        <v>960000000</v>
      </c>
      <c r="R57" s="83">
        <v>630000000</v>
      </c>
      <c r="S57" s="307">
        <f t="shared" si="0"/>
        <v>-330000000</v>
      </c>
    </row>
    <row r="58" spans="1:19" ht="18.95" customHeight="1">
      <c r="A58" s="632"/>
      <c r="B58" s="308" t="s">
        <v>92</v>
      </c>
      <c r="C58" s="307"/>
      <c r="D58" s="307"/>
      <c r="E58" s="307"/>
      <c r="F58" s="307"/>
      <c r="G58" s="307"/>
      <c r="H58" s="307"/>
      <c r="I58" s="307"/>
      <c r="J58" s="308"/>
      <c r="K58" s="308"/>
      <c r="L58" s="308"/>
      <c r="M58" s="308"/>
      <c r="N58" s="308"/>
      <c r="O58" s="308"/>
      <c r="P58" s="308">
        <f>SUM(P57)</f>
        <v>778218000</v>
      </c>
      <c r="Q58" s="308">
        <f>SUM(Q57)</f>
        <v>960000000</v>
      </c>
      <c r="R58" s="306">
        <f>SUM(R57)</f>
        <v>630000000</v>
      </c>
      <c r="S58" s="308">
        <f t="shared" si="0"/>
        <v>-330000000</v>
      </c>
    </row>
    <row r="59" spans="1:19" ht="18.95" customHeight="1">
      <c r="A59" s="632"/>
      <c r="B59" s="308" t="s">
        <v>37</v>
      </c>
      <c r="C59" s="626"/>
      <c r="D59" s="626"/>
      <c r="E59" s="626"/>
      <c r="F59" s="626"/>
      <c r="G59" s="626"/>
      <c r="H59" s="626"/>
      <c r="I59" s="626"/>
      <c r="J59" s="626"/>
      <c r="K59" s="626"/>
      <c r="L59" s="636">
        <f>L50+L47+L40+L34+L27+L11</f>
        <v>1897482544</v>
      </c>
      <c r="M59" s="636">
        <f>M50+M47+M40+M34+M27+M11</f>
        <v>2917731880.8000002</v>
      </c>
      <c r="N59" s="308">
        <f>N55+N50+N47+N40+N34+N27+N11</f>
        <v>5532058560.8000002</v>
      </c>
      <c r="O59" s="308">
        <f>O55+O50+O47+O40+O34+O27+O11</f>
        <v>4958886400.8000002</v>
      </c>
      <c r="P59" s="308">
        <f>P55+P50+P47+P40+P34+P27+P11+P58</f>
        <v>13206683601</v>
      </c>
      <c r="Q59" s="308">
        <f>Q55+Q50+Q47+Q40+Q34+Q27+Q11+Q58</f>
        <v>9527350401</v>
      </c>
      <c r="R59" s="306">
        <f>R55+R50+R47+R40+R34+R27+R11+R58</f>
        <v>11719224340</v>
      </c>
      <c r="S59" s="308">
        <f t="shared" si="0"/>
        <v>2191873939</v>
      </c>
    </row>
  </sheetData>
  <pageMargins left="0.7" right="0.42" top="1.01" bottom="0.64" header="0.36" footer="0.22"/>
  <pageSetup scale="60" orientation="portrait" r:id="rId1"/>
  <headerFooter>
    <oddHeader>&amp;C&amp;"Algerian,Bold"&amp;36WASAARAdDA DUULISTA IYO HAWADA</oddHeader>
    <oddFooter>&amp;R&amp;"Times New Roman,Bold"&amp;14 47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T52"/>
  <sheetViews>
    <sheetView view="pageBreakPreview" topLeftCell="A34" zoomScale="66" zoomScaleSheetLayoutView="66" workbookViewId="0">
      <selection activeCell="R51" sqref="R51"/>
    </sheetView>
  </sheetViews>
  <sheetFormatPr defaultRowHeight="26.1" customHeight="1"/>
  <cols>
    <col min="1" max="1" width="18.6640625" style="584" bestFit="1" customWidth="1"/>
    <col min="2" max="2" width="100" style="528" customWidth="1"/>
    <col min="3" max="3" width="17.1640625" style="528" hidden="1" customWidth="1"/>
    <col min="4" max="4" width="13.5" style="528" hidden="1" customWidth="1"/>
    <col min="5" max="5" width="18" style="528" hidden="1" customWidth="1"/>
    <col min="6" max="6" width="15.33203125" style="528" hidden="1" customWidth="1"/>
    <col min="7" max="7" width="18.6640625" style="528" hidden="1" customWidth="1"/>
    <col min="8" max="9" width="17.1640625" style="528" hidden="1" customWidth="1"/>
    <col min="10" max="10" width="0.33203125" style="528" hidden="1" customWidth="1"/>
    <col min="11" max="11" width="3.33203125" style="528" hidden="1" customWidth="1"/>
    <col min="12" max="12" width="21.83203125" style="528" hidden="1" customWidth="1"/>
    <col min="13" max="13" width="23.33203125" style="528" hidden="1" customWidth="1"/>
    <col min="14" max="14" width="0.33203125" style="498" hidden="1" customWidth="1"/>
    <col min="15" max="16" width="30.1640625" style="498" hidden="1" customWidth="1"/>
    <col min="17" max="18" width="30.1640625" style="498" customWidth="1"/>
    <col min="19" max="19" width="32.5" style="498" customWidth="1"/>
    <col min="20" max="20" width="18.6640625" style="528" customWidth="1"/>
    <col min="21" max="21" width="18.5" style="528" customWidth="1"/>
    <col min="22" max="22" width="15.83203125" style="528" customWidth="1"/>
    <col min="23" max="16384" width="9.33203125" style="528"/>
  </cols>
  <sheetData>
    <row r="1" spans="1:20" ht="26.1" customHeight="1">
      <c r="A1" s="571" t="s">
        <v>39</v>
      </c>
      <c r="B1" s="380" t="s">
        <v>1019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273"/>
      <c r="O1" s="273"/>
      <c r="P1" s="273"/>
      <c r="Q1" s="273"/>
      <c r="R1" s="273"/>
      <c r="S1" s="273"/>
    </row>
    <row r="2" spans="1:20" ht="26.1" customHeight="1">
      <c r="A2" s="573" t="s">
        <v>25</v>
      </c>
      <c r="B2" s="639" t="s">
        <v>26</v>
      </c>
      <c r="C2" s="640" t="s">
        <v>26</v>
      </c>
      <c r="D2" s="640" t="s">
        <v>2</v>
      </c>
      <c r="E2" s="640" t="s">
        <v>43</v>
      </c>
      <c r="F2" s="640" t="s">
        <v>46</v>
      </c>
      <c r="G2" s="548" t="s">
        <v>55</v>
      </c>
      <c r="H2" s="548" t="s">
        <v>62</v>
      </c>
      <c r="I2" s="548" t="s">
        <v>101</v>
      </c>
      <c r="J2" s="548" t="s">
        <v>107</v>
      </c>
      <c r="K2" s="548" t="s">
        <v>118</v>
      </c>
      <c r="L2" s="548" t="s">
        <v>151</v>
      </c>
      <c r="M2" s="548" t="s">
        <v>257</v>
      </c>
      <c r="N2" s="586" t="s">
        <v>814</v>
      </c>
      <c r="O2" s="586" t="s">
        <v>874</v>
      </c>
      <c r="P2" s="586" t="s">
        <v>973</v>
      </c>
      <c r="Q2" s="586" t="s">
        <v>1160</v>
      </c>
      <c r="R2" s="586" t="s">
        <v>1320</v>
      </c>
      <c r="S2" s="586" t="s">
        <v>56</v>
      </c>
    </row>
    <row r="3" spans="1:20" ht="26.1" customHeight="1">
      <c r="A3" s="573">
        <v>210</v>
      </c>
      <c r="B3" s="298" t="s">
        <v>137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273"/>
      <c r="O3" s="273"/>
      <c r="P3" s="273"/>
      <c r="Q3" s="273"/>
      <c r="R3" s="273"/>
      <c r="S3" s="273"/>
    </row>
    <row r="4" spans="1:20" ht="26.1" customHeight="1">
      <c r="A4" s="573">
        <v>2110</v>
      </c>
      <c r="B4" s="298" t="s">
        <v>213</v>
      </c>
      <c r="C4" s="273">
        <v>68778000</v>
      </c>
      <c r="D4" s="273">
        <v>118728000</v>
      </c>
      <c r="E4" s="273">
        <v>97620000</v>
      </c>
      <c r="F4" s="273">
        <v>100812000</v>
      </c>
      <c r="G4" s="273">
        <f>100812000+3192000</f>
        <v>104004000</v>
      </c>
      <c r="H4" s="273">
        <v>104004000</v>
      </c>
      <c r="I4" s="273">
        <v>136156800</v>
      </c>
      <c r="J4" s="273">
        <v>140306400</v>
      </c>
      <c r="K4" s="273">
        <v>140306400</v>
      </c>
      <c r="L4" s="273"/>
      <c r="M4" s="273"/>
      <c r="N4" s="273"/>
      <c r="O4" s="273"/>
      <c r="P4" s="273"/>
      <c r="Q4" s="273"/>
      <c r="R4" s="273"/>
      <c r="S4" s="273"/>
      <c r="T4" s="498"/>
    </row>
    <row r="5" spans="1:20" ht="26.1" customHeight="1">
      <c r="A5" s="574">
        <v>21101</v>
      </c>
      <c r="B5" s="273" t="s">
        <v>28</v>
      </c>
      <c r="C5" s="273">
        <v>4228000</v>
      </c>
      <c r="D5" s="273">
        <v>0</v>
      </c>
      <c r="E5" s="273">
        <v>0</v>
      </c>
      <c r="F5" s="273">
        <v>0</v>
      </c>
      <c r="G5" s="273">
        <v>0</v>
      </c>
      <c r="H5" s="273">
        <v>0</v>
      </c>
      <c r="I5" s="273">
        <v>0</v>
      </c>
      <c r="J5" s="273">
        <v>0</v>
      </c>
      <c r="K5" s="273">
        <v>0</v>
      </c>
      <c r="L5" s="273">
        <v>140306400</v>
      </c>
      <c r="M5" s="273">
        <f>shaqaalaha2011!H41+36000000</f>
        <v>251124000</v>
      </c>
      <c r="N5" s="273">
        <v>282235200</v>
      </c>
      <c r="O5" s="273">
        <v>408695040</v>
      </c>
      <c r="P5" s="273">
        <v>437673600</v>
      </c>
      <c r="Q5" s="273">
        <v>455345280</v>
      </c>
      <c r="R5" s="273">
        <v>580941504</v>
      </c>
      <c r="S5" s="273">
        <f>R5-Q5</f>
        <v>125596224</v>
      </c>
    </row>
    <row r="6" spans="1:20" ht="26.1" customHeight="1">
      <c r="A6" s="574">
        <v>21102</v>
      </c>
      <c r="B6" s="273" t="s">
        <v>29</v>
      </c>
      <c r="C6" s="273">
        <v>10800000</v>
      </c>
      <c r="D6" s="273">
        <v>10800000</v>
      </c>
      <c r="E6" s="273">
        <v>10800000</v>
      </c>
      <c r="F6" s="273">
        <v>21288000</v>
      </c>
      <c r="G6" s="273">
        <v>26088000</v>
      </c>
      <c r="H6" s="273">
        <v>26088000</v>
      </c>
      <c r="I6" s="273">
        <v>26088000</v>
      </c>
      <c r="J6" s="273">
        <v>26088000</v>
      </c>
      <c r="K6" s="273">
        <v>26088000</v>
      </c>
      <c r="L6" s="273">
        <v>0</v>
      </c>
      <c r="M6" s="273">
        <v>0</v>
      </c>
      <c r="N6" s="273">
        <v>54000000</v>
      </c>
      <c r="O6" s="273">
        <v>60000000</v>
      </c>
      <c r="P6" s="273">
        <v>60000000</v>
      </c>
      <c r="Q6" s="273">
        <v>60000000</v>
      </c>
      <c r="R6" s="273">
        <v>114000000</v>
      </c>
      <c r="S6" s="273">
        <f t="shared" ref="S6:S51" si="0">R6-Q6</f>
        <v>54000000</v>
      </c>
    </row>
    <row r="7" spans="1:20" ht="26.1" customHeight="1">
      <c r="A7" s="574">
        <v>21102</v>
      </c>
      <c r="B7" s="273" t="s">
        <v>1309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>
        <v>0</v>
      </c>
      <c r="N7" s="273">
        <v>19234425600</v>
      </c>
      <c r="O7" s="273">
        <v>19425369600</v>
      </c>
      <c r="P7" s="273">
        <v>19425369600</v>
      </c>
      <c r="Q7" s="273">
        <v>19425369600</v>
      </c>
      <c r="R7" s="247">
        <v>19425369600</v>
      </c>
      <c r="S7" s="273">
        <f t="shared" si="0"/>
        <v>0</v>
      </c>
    </row>
    <row r="8" spans="1:20" ht="26.1" customHeight="1">
      <c r="A8" s="574">
        <v>21102</v>
      </c>
      <c r="B8" s="273" t="s">
        <v>1287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>
        <v>0</v>
      </c>
      <c r="N8" s="273">
        <v>4608115200</v>
      </c>
      <c r="O8" s="273">
        <v>4608115200</v>
      </c>
      <c r="P8" s="273">
        <v>4741776000</v>
      </c>
      <c r="Q8" s="273">
        <v>4849977600</v>
      </c>
      <c r="R8" s="247">
        <v>4926355200</v>
      </c>
      <c r="S8" s="273">
        <f t="shared" si="0"/>
        <v>76377600</v>
      </c>
    </row>
    <row r="9" spans="1:20" ht="26.1" customHeight="1">
      <c r="A9" s="574">
        <v>21103</v>
      </c>
      <c r="B9" s="273" t="s">
        <v>565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f>26088000+2400000</f>
        <v>28488000</v>
      </c>
      <c r="M9" s="273">
        <f>26088000+2400000</f>
        <v>28488000</v>
      </c>
      <c r="N9" s="273">
        <v>75600000</v>
      </c>
      <c r="O9" s="273">
        <v>144000000</v>
      </c>
      <c r="P9" s="273">
        <v>144000000</v>
      </c>
      <c r="Q9" s="775">
        <v>162000000</v>
      </c>
      <c r="R9" s="873">
        <v>198000000</v>
      </c>
      <c r="S9" s="273">
        <f t="shared" si="0"/>
        <v>36000000</v>
      </c>
    </row>
    <row r="10" spans="1:20" ht="26.1" customHeight="1">
      <c r="A10" s="574">
        <v>21105</v>
      </c>
      <c r="B10" s="273" t="s">
        <v>1061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>
        <v>24000000</v>
      </c>
      <c r="N10" s="273">
        <v>24000000</v>
      </c>
      <c r="O10" s="273">
        <v>24000000</v>
      </c>
      <c r="P10" s="273">
        <v>98000000</v>
      </c>
      <c r="Q10" s="273">
        <v>98000000</v>
      </c>
      <c r="R10" s="247">
        <v>98000000</v>
      </c>
      <c r="S10" s="273">
        <f t="shared" si="0"/>
        <v>0</v>
      </c>
    </row>
    <row r="11" spans="1:20" ht="26.1" customHeight="1">
      <c r="A11" s="574"/>
      <c r="B11" s="298" t="s">
        <v>92</v>
      </c>
      <c r="C11" s="273">
        <v>4492260</v>
      </c>
      <c r="D11" s="273">
        <v>5300000</v>
      </c>
      <c r="E11" s="273">
        <v>5300000</v>
      </c>
      <c r="F11" s="273">
        <v>5300000</v>
      </c>
      <c r="G11" s="273">
        <v>12000000</v>
      </c>
      <c r="H11" s="273">
        <v>15000000</v>
      </c>
      <c r="I11" s="273">
        <v>11172000</v>
      </c>
      <c r="J11" s="273">
        <v>15000000</v>
      </c>
      <c r="K11" s="273">
        <v>8365594</v>
      </c>
      <c r="L11" s="298">
        <f>SUM(L5:L9)</f>
        <v>168794400</v>
      </c>
      <c r="M11" s="298">
        <f>M10+M9+M7+M6+M5</f>
        <v>303612000</v>
      </c>
      <c r="N11" s="298">
        <f>SUM(N5:N10)</f>
        <v>24278376000</v>
      </c>
      <c r="O11" s="298">
        <f>SUM(O5:O10)</f>
        <v>24670179840</v>
      </c>
      <c r="P11" s="298">
        <f>SUM(P5:P10)</f>
        <v>24906819200</v>
      </c>
      <c r="Q11" s="298">
        <f>SUM(Q5:Q10)</f>
        <v>25050692480</v>
      </c>
      <c r="R11" s="256">
        <f>SUM(R5:R10)</f>
        <v>25342666304</v>
      </c>
      <c r="S11" s="298">
        <f t="shared" si="0"/>
        <v>291973824</v>
      </c>
    </row>
    <row r="12" spans="1:20" ht="26.1" customHeight="1">
      <c r="A12" s="573">
        <v>220</v>
      </c>
      <c r="B12" s="298" t="s">
        <v>225</v>
      </c>
      <c r="C12" s="273"/>
      <c r="D12" s="273"/>
      <c r="E12" s="273"/>
      <c r="F12" s="273"/>
      <c r="G12" s="273"/>
      <c r="H12" s="273"/>
      <c r="I12" s="273"/>
      <c r="J12" s="273"/>
      <c r="K12" s="273">
        <v>0</v>
      </c>
      <c r="L12" s="273"/>
      <c r="M12" s="273"/>
      <c r="N12" s="273"/>
      <c r="O12" s="273"/>
      <c r="P12" s="273"/>
      <c r="Q12" s="273"/>
      <c r="R12" s="247"/>
      <c r="S12" s="273">
        <f t="shared" si="0"/>
        <v>0</v>
      </c>
    </row>
    <row r="13" spans="1:20" ht="26.1" customHeight="1">
      <c r="A13" s="573">
        <v>2210</v>
      </c>
      <c r="B13" s="298" t="s">
        <v>226</v>
      </c>
      <c r="C13" s="273"/>
      <c r="D13" s="273">
        <v>0</v>
      </c>
      <c r="E13" s="273">
        <v>0</v>
      </c>
      <c r="F13" s="273">
        <v>2394000</v>
      </c>
      <c r="G13" s="273">
        <v>4000000</v>
      </c>
      <c r="H13" s="273">
        <v>5000000</v>
      </c>
      <c r="I13" s="273">
        <v>5213600</v>
      </c>
      <c r="J13" s="273">
        <v>6000000</v>
      </c>
      <c r="K13" s="273">
        <v>1117200</v>
      </c>
      <c r="L13" s="273"/>
      <c r="M13" s="273"/>
      <c r="N13" s="273"/>
      <c r="O13" s="273"/>
      <c r="P13" s="273"/>
      <c r="Q13" s="273"/>
      <c r="R13" s="247"/>
      <c r="S13" s="273">
        <f t="shared" si="0"/>
        <v>0</v>
      </c>
    </row>
    <row r="14" spans="1:20" ht="26.1" customHeight="1">
      <c r="A14" s="574">
        <v>22101</v>
      </c>
      <c r="B14" s="273" t="s">
        <v>33</v>
      </c>
      <c r="C14" s="273"/>
      <c r="D14" s="273"/>
      <c r="E14" s="273"/>
      <c r="F14" s="273"/>
      <c r="G14" s="273"/>
      <c r="H14" s="273"/>
      <c r="I14" s="273">
        <v>0</v>
      </c>
      <c r="J14" s="273">
        <v>6000000</v>
      </c>
      <c r="K14" s="273">
        <v>2979200</v>
      </c>
      <c r="L14" s="273">
        <v>11172000</v>
      </c>
      <c r="M14" s="273">
        <f>11172000*70%</f>
        <v>7820399.9999999991</v>
      </c>
      <c r="N14" s="273">
        <f>11172000*70%</f>
        <v>7820399.9999999991</v>
      </c>
      <c r="O14" s="273">
        <v>68920400</v>
      </c>
      <c r="P14" s="273">
        <v>68920400</v>
      </c>
      <c r="Q14" s="273">
        <v>68920400</v>
      </c>
      <c r="R14" s="247">
        <v>68920400</v>
      </c>
      <c r="S14" s="273">
        <f t="shared" si="0"/>
        <v>0</v>
      </c>
    </row>
    <row r="15" spans="1:20" s="530" customFormat="1" ht="26.1" customHeight="1">
      <c r="A15" s="574">
        <v>22102</v>
      </c>
      <c r="B15" s="273" t="s">
        <v>124</v>
      </c>
      <c r="C15" s="298">
        <f>SUM(C11:C11)</f>
        <v>4492260</v>
      </c>
      <c r="D15" s="298">
        <f>SUM(D11:D11)</f>
        <v>5300000</v>
      </c>
      <c r="E15" s="298">
        <f>SUM(E11:E13)</f>
        <v>5300000</v>
      </c>
      <c r="F15" s="298">
        <f>SUM(F11:F13)</f>
        <v>7694000</v>
      </c>
      <c r="G15" s="298">
        <f>SUM(G11:G13)</f>
        <v>16000000</v>
      </c>
      <c r="H15" s="298">
        <f>SUM(H11:H13)</f>
        <v>20000000</v>
      </c>
      <c r="I15" s="298">
        <f>SUM(I11:I14)</f>
        <v>16385600</v>
      </c>
      <c r="J15" s="298">
        <f>SUM(J11:J14)</f>
        <v>27000000</v>
      </c>
      <c r="K15" s="273">
        <v>11172000</v>
      </c>
      <c r="L15" s="273">
        <v>13705000</v>
      </c>
      <c r="M15" s="273">
        <f>13705000*70%</f>
        <v>9593500</v>
      </c>
      <c r="N15" s="273">
        <v>38100000</v>
      </c>
      <c r="O15" s="273"/>
      <c r="P15" s="273"/>
      <c r="Q15" s="273"/>
      <c r="R15" s="247"/>
      <c r="S15" s="273">
        <f t="shared" si="0"/>
        <v>0</v>
      </c>
    </row>
    <row r="16" spans="1:20" ht="26.1" customHeight="1">
      <c r="A16" s="574">
        <v>22103</v>
      </c>
      <c r="B16" s="273" t="s">
        <v>125</v>
      </c>
      <c r="C16" s="273"/>
      <c r="D16" s="273"/>
      <c r="E16" s="273"/>
      <c r="F16" s="273"/>
      <c r="G16" s="273"/>
      <c r="H16" s="273"/>
      <c r="I16" s="273"/>
      <c r="J16" s="273"/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3">
        <v>0</v>
      </c>
      <c r="R16" s="247">
        <v>0</v>
      </c>
      <c r="S16" s="273">
        <f t="shared" si="0"/>
        <v>0</v>
      </c>
    </row>
    <row r="17" spans="1:19" ht="26.1" customHeight="1">
      <c r="A17" s="574">
        <v>22104</v>
      </c>
      <c r="B17" s="273" t="s">
        <v>157</v>
      </c>
      <c r="C17" s="273"/>
      <c r="D17" s="547"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15000000</v>
      </c>
      <c r="M17" s="273">
        <v>10500000</v>
      </c>
      <c r="N17" s="273">
        <v>10500000</v>
      </c>
      <c r="O17" s="273">
        <v>10500000</v>
      </c>
      <c r="P17" s="273">
        <v>10500000</v>
      </c>
      <c r="Q17" s="273">
        <v>17500000</v>
      </c>
      <c r="R17" s="247">
        <v>40000000</v>
      </c>
      <c r="S17" s="273">
        <f t="shared" si="0"/>
        <v>22500000</v>
      </c>
    </row>
    <row r="18" spans="1:19" ht="26.1" customHeight="1">
      <c r="A18" s="574">
        <v>22105</v>
      </c>
      <c r="B18" s="273" t="s">
        <v>135</v>
      </c>
      <c r="C18" s="273"/>
      <c r="D18" s="547"/>
      <c r="E18" s="273"/>
      <c r="F18" s="273"/>
      <c r="G18" s="273"/>
      <c r="H18" s="273"/>
      <c r="I18" s="273"/>
      <c r="J18" s="273"/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3">
        <v>0</v>
      </c>
      <c r="R18" s="247">
        <v>0</v>
      </c>
      <c r="S18" s="273">
        <f t="shared" si="0"/>
        <v>0</v>
      </c>
    </row>
    <row r="19" spans="1:19" ht="26.1" customHeight="1">
      <c r="A19" s="574">
        <v>22106</v>
      </c>
      <c r="B19" s="273" t="s">
        <v>126</v>
      </c>
      <c r="C19" s="273"/>
      <c r="D19" s="273"/>
      <c r="E19" s="273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98">
        <f>SUM(K11:K18)</f>
        <v>23633994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56">
        <v>0</v>
      </c>
      <c r="S19" s="273">
        <f t="shared" si="0"/>
        <v>0</v>
      </c>
    </row>
    <row r="20" spans="1:19" ht="26.1" customHeight="1">
      <c r="A20" s="574">
        <v>22107</v>
      </c>
      <c r="B20" s="273" t="s">
        <v>48</v>
      </c>
      <c r="C20" s="273"/>
      <c r="D20" s="273"/>
      <c r="E20" s="273">
        <v>0</v>
      </c>
      <c r="F20" s="273">
        <v>0</v>
      </c>
      <c r="G20" s="273">
        <v>0</v>
      </c>
      <c r="H20" s="273">
        <v>45500000</v>
      </c>
      <c r="I20" s="273">
        <v>0</v>
      </c>
      <c r="J20" s="273">
        <v>0</v>
      </c>
      <c r="K20" s="273"/>
      <c r="L20" s="273">
        <v>8205500</v>
      </c>
      <c r="M20" s="273">
        <v>5743850</v>
      </c>
      <c r="N20" s="273">
        <v>4020695</v>
      </c>
      <c r="O20" s="273">
        <f>N20</f>
        <v>4020695</v>
      </c>
      <c r="P20" s="273">
        <f>O20</f>
        <v>4020695</v>
      </c>
      <c r="Q20" s="273">
        <f>P20</f>
        <v>4020695</v>
      </c>
      <c r="R20" s="247">
        <f>Q20</f>
        <v>4020695</v>
      </c>
      <c r="S20" s="273">
        <f t="shared" si="0"/>
        <v>0</v>
      </c>
    </row>
    <row r="21" spans="1:19" ht="26.1" customHeight="1">
      <c r="A21" s="574">
        <v>22109</v>
      </c>
      <c r="B21" s="273" t="s">
        <v>136</v>
      </c>
      <c r="C21" s="273">
        <v>2500000</v>
      </c>
      <c r="D21" s="273">
        <v>3274130</v>
      </c>
      <c r="E21" s="273">
        <v>3274130</v>
      </c>
      <c r="F21" s="273">
        <v>3274130</v>
      </c>
      <c r="G21" s="273">
        <v>2400000</v>
      </c>
      <c r="H21" s="273">
        <v>3000000</v>
      </c>
      <c r="I21" s="273">
        <v>2234400</v>
      </c>
      <c r="J21" s="273">
        <v>4000000</v>
      </c>
      <c r="K21" s="273">
        <v>84125000</v>
      </c>
      <c r="L21" s="273">
        <v>10468800</v>
      </c>
      <c r="M21" s="273">
        <f t="shared" ref="M21:R21" si="1">10468800*70%</f>
        <v>7328160</v>
      </c>
      <c r="N21" s="273">
        <f t="shared" si="1"/>
        <v>7328160</v>
      </c>
      <c r="O21" s="273">
        <f t="shared" si="1"/>
        <v>7328160</v>
      </c>
      <c r="P21" s="273">
        <f t="shared" si="1"/>
        <v>7328160</v>
      </c>
      <c r="Q21" s="273">
        <f t="shared" si="1"/>
        <v>7328160</v>
      </c>
      <c r="R21" s="247">
        <f t="shared" si="1"/>
        <v>7328160</v>
      </c>
      <c r="S21" s="273">
        <f t="shared" si="0"/>
        <v>0</v>
      </c>
    </row>
    <row r="22" spans="1:19" s="530" customFormat="1" ht="26.1" customHeight="1">
      <c r="A22" s="574">
        <v>22112</v>
      </c>
      <c r="B22" s="273" t="s">
        <v>35</v>
      </c>
      <c r="C22" s="298">
        <f>SUM(C21:C21)</f>
        <v>2500000</v>
      </c>
      <c r="D22" s="298">
        <f>SUM(D21:D21)</f>
        <v>3274130</v>
      </c>
      <c r="E22" s="298">
        <f t="shared" ref="E22:J22" si="2">SUM(E17:E21)</f>
        <v>3274130</v>
      </c>
      <c r="F22" s="298">
        <f t="shared" si="2"/>
        <v>3274130</v>
      </c>
      <c r="G22" s="298">
        <f t="shared" si="2"/>
        <v>2400000</v>
      </c>
      <c r="H22" s="298">
        <f t="shared" si="2"/>
        <v>48500000</v>
      </c>
      <c r="I22" s="298">
        <f t="shared" si="2"/>
        <v>2234400</v>
      </c>
      <c r="J22" s="298">
        <f t="shared" si="2"/>
        <v>4000000</v>
      </c>
      <c r="K22" s="273">
        <v>11172000</v>
      </c>
      <c r="L22" s="273">
        <v>28758400</v>
      </c>
      <c r="M22" s="273">
        <f t="shared" ref="M22:R22" si="3">20130880*70%</f>
        <v>14091616</v>
      </c>
      <c r="N22" s="273">
        <f t="shared" si="3"/>
        <v>14091616</v>
      </c>
      <c r="O22" s="273">
        <f t="shared" si="3"/>
        <v>14091616</v>
      </c>
      <c r="P22" s="273">
        <f t="shared" si="3"/>
        <v>14091616</v>
      </c>
      <c r="Q22" s="273">
        <f t="shared" si="3"/>
        <v>14091616</v>
      </c>
      <c r="R22" s="247">
        <f t="shared" si="3"/>
        <v>14091616</v>
      </c>
      <c r="S22" s="273">
        <f t="shared" si="0"/>
        <v>0</v>
      </c>
    </row>
    <row r="23" spans="1:19" ht="26.1" customHeight="1">
      <c r="A23" s="574">
        <v>22129</v>
      </c>
      <c r="B23" s="273" t="s">
        <v>143</v>
      </c>
      <c r="C23" s="273">
        <v>900000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/>
      <c r="L23" s="273">
        <v>3000000</v>
      </c>
      <c r="M23" s="273">
        <f>3000000*70%</f>
        <v>2100000</v>
      </c>
      <c r="N23" s="273">
        <v>0</v>
      </c>
      <c r="O23" s="273">
        <v>0</v>
      </c>
      <c r="P23" s="273">
        <v>0</v>
      </c>
      <c r="Q23" s="273">
        <v>0</v>
      </c>
      <c r="R23" s="247">
        <v>0</v>
      </c>
      <c r="S23" s="273">
        <f t="shared" si="0"/>
        <v>0</v>
      </c>
    </row>
    <row r="24" spans="1:19" ht="26.1" customHeight="1">
      <c r="A24" s="574">
        <v>22132</v>
      </c>
      <c r="B24" s="273" t="s">
        <v>1363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47">
        <v>120000000</v>
      </c>
      <c r="S24" s="273">
        <f t="shared" si="0"/>
        <v>120000000</v>
      </c>
    </row>
    <row r="25" spans="1:19" ht="26.1" customHeight="1">
      <c r="A25" s="574">
        <v>22137</v>
      </c>
      <c r="B25" s="273" t="s">
        <v>272</v>
      </c>
      <c r="C25" s="273"/>
      <c r="D25" s="273"/>
      <c r="E25" s="273"/>
      <c r="F25" s="273"/>
      <c r="G25" s="273"/>
      <c r="H25" s="273"/>
      <c r="I25" s="273"/>
      <c r="J25" s="273"/>
      <c r="K25" s="273">
        <v>0</v>
      </c>
      <c r="L25" s="273">
        <v>18000000</v>
      </c>
      <c r="M25" s="273">
        <f>18000000*70%</f>
        <v>12600000</v>
      </c>
      <c r="N25" s="273">
        <v>30600000</v>
      </c>
      <c r="O25" s="273">
        <v>30600000</v>
      </c>
      <c r="P25" s="273">
        <v>30600000</v>
      </c>
      <c r="Q25" s="273">
        <v>60600000</v>
      </c>
      <c r="R25" s="247">
        <v>60600000</v>
      </c>
      <c r="S25" s="273">
        <f t="shared" si="0"/>
        <v>0</v>
      </c>
    </row>
    <row r="26" spans="1:19" ht="26.1" customHeight="1">
      <c r="A26" s="574"/>
      <c r="B26" s="298" t="s">
        <v>92</v>
      </c>
      <c r="C26" s="273">
        <v>3563000</v>
      </c>
      <c r="D26" s="273">
        <v>0</v>
      </c>
      <c r="E26" s="273">
        <v>3600000</v>
      </c>
      <c r="F26" s="273">
        <v>3600000</v>
      </c>
      <c r="G26" s="273">
        <v>4000000</v>
      </c>
      <c r="H26" s="273">
        <v>10000000</v>
      </c>
      <c r="I26" s="273">
        <v>11172000</v>
      </c>
      <c r="J26" s="273">
        <v>15000000</v>
      </c>
      <c r="K26" s="273">
        <v>1489600</v>
      </c>
      <c r="L26" s="298">
        <f t="shared" ref="L26:R26" si="4">SUM(L14:L25)</f>
        <v>108309700</v>
      </c>
      <c r="M26" s="298">
        <f t="shared" si="4"/>
        <v>69777526</v>
      </c>
      <c r="N26" s="298">
        <f t="shared" si="4"/>
        <v>112460871</v>
      </c>
      <c r="O26" s="298">
        <f t="shared" si="4"/>
        <v>135460871</v>
      </c>
      <c r="P26" s="298">
        <f t="shared" si="4"/>
        <v>135460871</v>
      </c>
      <c r="Q26" s="298">
        <f t="shared" si="4"/>
        <v>172460871</v>
      </c>
      <c r="R26" s="256">
        <f t="shared" si="4"/>
        <v>314960871</v>
      </c>
      <c r="S26" s="298">
        <f t="shared" si="0"/>
        <v>142500000</v>
      </c>
    </row>
    <row r="27" spans="1:19" ht="26.1" customHeight="1">
      <c r="A27" s="573">
        <v>2220</v>
      </c>
      <c r="B27" s="298" t="s">
        <v>240</v>
      </c>
      <c r="C27" s="273">
        <v>0</v>
      </c>
      <c r="D27" s="273">
        <v>0</v>
      </c>
      <c r="E27" s="273">
        <v>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2234400</v>
      </c>
      <c r="L27" s="273"/>
      <c r="M27" s="273"/>
      <c r="N27" s="273"/>
      <c r="O27" s="273"/>
      <c r="P27" s="273"/>
      <c r="Q27" s="273"/>
      <c r="R27" s="247"/>
      <c r="S27" s="273">
        <f t="shared" si="0"/>
        <v>0</v>
      </c>
    </row>
    <row r="28" spans="1:19" ht="26.1" customHeight="1">
      <c r="A28" s="574">
        <v>22201</v>
      </c>
      <c r="B28" s="273" t="s">
        <v>132</v>
      </c>
      <c r="C28" s="273">
        <v>2500000</v>
      </c>
      <c r="D28" s="273">
        <v>6400000</v>
      </c>
      <c r="E28" s="273">
        <v>6400000</v>
      </c>
      <c r="F28" s="273">
        <v>6400000</v>
      </c>
      <c r="G28" s="273">
        <v>8985600</v>
      </c>
      <c r="H28" s="273">
        <v>11232000</v>
      </c>
      <c r="I28" s="273">
        <v>8365594</v>
      </c>
      <c r="J28" s="273">
        <v>10000000</v>
      </c>
      <c r="K28" s="298">
        <f>SUM(K25:K27)</f>
        <v>3724000</v>
      </c>
      <c r="L28" s="298">
        <v>0</v>
      </c>
      <c r="M28" s="298">
        <v>0</v>
      </c>
      <c r="N28" s="298">
        <v>0</v>
      </c>
      <c r="O28" s="298">
        <v>0</v>
      </c>
      <c r="P28" s="298">
        <v>0</v>
      </c>
      <c r="Q28" s="298">
        <v>0</v>
      </c>
      <c r="R28" s="256">
        <v>0</v>
      </c>
      <c r="S28" s="273">
        <f t="shared" si="0"/>
        <v>0</v>
      </c>
    </row>
    <row r="29" spans="1:19" ht="26.1" customHeight="1">
      <c r="A29" s="574">
        <v>22202</v>
      </c>
      <c r="B29" s="273" t="s">
        <v>133</v>
      </c>
      <c r="C29" s="273">
        <v>9750000</v>
      </c>
      <c r="D29" s="273">
        <v>0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/>
      <c r="L29" s="273">
        <v>147218750</v>
      </c>
      <c r="M29" s="273">
        <v>103053125</v>
      </c>
      <c r="N29" s="273">
        <f>M29</f>
        <v>103053125</v>
      </c>
      <c r="O29" s="273">
        <v>133053125</v>
      </c>
      <c r="P29" s="273">
        <v>133053125</v>
      </c>
      <c r="Q29" s="273">
        <v>149053125</v>
      </c>
      <c r="R29" s="247">
        <v>149053125</v>
      </c>
      <c r="S29" s="273">
        <f t="shared" si="0"/>
        <v>0</v>
      </c>
    </row>
    <row r="30" spans="1:19" ht="26.1" customHeight="1">
      <c r="A30" s="574">
        <v>22203</v>
      </c>
      <c r="B30" s="273" t="s">
        <v>1183</v>
      </c>
      <c r="C30" s="273">
        <v>1082500</v>
      </c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11916800</v>
      </c>
      <c r="L30" s="273">
        <v>16758000</v>
      </c>
      <c r="M30" s="273">
        <v>11730600</v>
      </c>
      <c r="N30" s="273">
        <v>13703660</v>
      </c>
      <c r="O30" s="273">
        <v>13703660</v>
      </c>
      <c r="P30" s="273">
        <v>13703660</v>
      </c>
      <c r="Q30" s="273">
        <v>13703660</v>
      </c>
      <c r="R30" s="247">
        <v>13703660</v>
      </c>
      <c r="S30" s="273">
        <f t="shared" si="0"/>
        <v>0</v>
      </c>
    </row>
    <row r="31" spans="1:19" ht="26.1" customHeight="1">
      <c r="A31" s="574">
        <v>22204</v>
      </c>
      <c r="B31" s="273" t="s">
        <v>128</v>
      </c>
      <c r="C31" s="273"/>
      <c r="D31" s="273"/>
      <c r="E31" s="273"/>
      <c r="F31" s="273">
        <v>0</v>
      </c>
      <c r="G31" s="273">
        <v>1200000</v>
      </c>
      <c r="H31" s="273">
        <v>1500000</v>
      </c>
      <c r="I31" s="273">
        <v>1117200</v>
      </c>
      <c r="J31" s="273">
        <v>2000000</v>
      </c>
      <c r="K31" s="273">
        <v>0</v>
      </c>
      <c r="L31" s="273">
        <v>7820600</v>
      </c>
      <c r="M31" s="273">
        <f t="shared" ref="M31:R31" si="5">7820600*70%</f>
        <v>5474420</v>
      </c>
      <c r="N31" s="273">
        <f t="shared" si="5"/>
        <v>5474420</v>
      </c>
      <c r="O31" s="273">
        <f t="shared" si="5"/>
        <v>5474420</v>
      </c>
      <c r="P31" s="273">
        <f t="shared" si="5"/>
        <v>5474420</v>
      </c>
      <c r="Q31" s="273">
        <f t="shared" si="5"/>
        <v>5474420</v>
      </c>
      <c r="R31" s="247">
        <f t="shared" si="5"/>
        <v>5474420</v>
      </c>
      <c r="S31" s="273">
        <f t="shared" si="0"/>
        <v>0</v>
      </c>
    </row>
    <row r="32" spans="1:19" ht="26.1" customHeight="1">
      <c r="A32" s="574">
        <v>22208</v>
      </c>
      <c r="B32" s="273" t="s">
        <v>1075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>
        <v>0</v>
      </c>
      <c r="N32" s="273">
        <v>4569687080</v>
      </c>
      <c r="O32" s="273">
        <v>4626063000</v>
      </c>
      <c r="P32" s="273">
        <v>5493600000</v>
      </c>
      <c r="Q32" s="273">
        <v>5493600000</v>
      </c>
      <c r="R32" s="247">
        <v>4693600000</v>
      </c>
      <c r="S32" s="273">
        <f t="shared" si="0"/>
        <v>-800000000</v>
      </c>
    </row>
    <row r="33" spans="1:19" ht="26.1" customHeight="1">
      <c r="A33" s="574">
        <v>22208</v>
      </c>
      <c r="B33" s="273" t="s">
        <v>1417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>
        <v>0</v>
      </c>
      <c r="N33" s="273">
        <v>1080389400</v>
      </c>
      <c r="O33" s="273">
        <v>1097946000</v>
      </c>
      <c r="P33" s="273">
        <v>1341000000</v>
      </c>
      <c r="Q33" s="273">
        <v>1371600000</v>
      </c>
      <c r="R33" s="247">
        <v>1321600000</v>
      </c>
      <c r="S33" s="273">
        <f t="shared" si="0"/>
        <v>-50000000</v>
      </c>
    </row>
    <row r="34" spans="1:19" ht="26.1" customHeight="1">
      <c r="A34" s="574"/>
      <c r="B34" s="298" t="s">
        <v>92</v>
      </c>
      <c r="C34" s="273"/>
      <c r="D34" s="273"/>
      <c r="E34" s="273">
        <v>0</v>
      </c>
      <c r="F34" s="273">
        <v>14632818</v>
      </c>
      <c r="G34" s="273">
        <v>0</v>
      </c>
      <c r="H34" s="273">
        <v>0</v>
      </c>
      <c r="I34" s="273">
        <v>0</v>
      </c>
      <c r="J34" s="273">
        <v>8000000</v>
      </c>
      <c r="K34" s="298" t="e">
        <f>#REF!+K28+#REF!+K19+#REF!</f>
        <v>#REF!</v>
      </c>
      <c r="L34" s="298">
        <f t="shared" ref="L34:P34" si="6">SUM(L28:L33)</f>
        <v>171797350</v>
      </c>
      <c r="M34" s="298">
        <f t="shared" si="6"/>
        <v>120258145</v>
      </c>
      <c r="N34" s="298">
        <f t="shared" si="6"/>
        <v>5772307685</v>
      </c>
      <c r="O34" s="298">
        <f t="shared" si="6"/>
        <v>5876240205</v>
      </c>
      <c r="P34" s="298">
        <f t="shared" si="6"/>
        <v>6986831205</v>
      </c>
      <c r="Q34" s="298">
        <f>SUM(Q28:Q33)</f>
        <v>7033431205</v>
      </c>
      <c r="R34" s="256">
        <f>SUM(R28:R33)</f>
        <v>6183431205</v>
      </c>
      <c r="S34" s="298">
        <f t="shared" si="0"/>
        <v>-850000000</v>
      </c>
    </row>
    <row r="35" spans="1:19" ht="26.1" customHeight="1">
      <c r="A35" s="573">
        <v>2230</v>
      </c>
      <c r="B35" s="298" t="s">
        <v>130</v>
      </c>
      <c r="C35" s="547"/>
      <c r="D35" s="547"/>
      <c r="E35" s="547"/>
      <c r="F35" s="547"/>
      <c r="G35" s="547"/>
      <c r="H35" s="547"/>
      <c r="I35" s="547"/>
      <c r="J35" s="547"/>
      <c r="K35" s="547"/>
      <c r="L35" s="589"/>
      <c r="M35" s="589"/>
      <c r="N35" s="273"/>
      <c r="O35" s="273"/>
      <c r="P35" s="273"/>
      <c r="Q35" s="273"/>
      <c r="R35" s="247"/>
      <c r="S35" s="273">
        <f t="shared" si="0"/>
        <v>0</v>
      </c>
    </row>
    <row r="36" spans="1:19" ht="26.1" customHeight="1">
      <c r="A36" s="574">
        <v>22301</v>
      </c>
      <c r="B36" s="273" t="s">
        <v>49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89">
        <v>58575000</v>
      </c>
      <c r="M36" s="589">
        <v>41002500</v>
      </c>
      <c r="N36" s="273">
        <v>41002500</v>
      </c>
      <c r="O36" s="273">
        <v>41002500</v>
      </c>
      <c r="P36" s="273">
        <v>41002500</v>
      </c>
      <c r="Q36" s="273">
        <v>59002500</v>
      </c>
      <c r="R36" s="247">
        <v>59002500</v>
      </c>
      <c r="S36" s="273">
        <f t="shared" si="0"/>
        <v>0</v>
      </c>
    </row>
    <row r="37" spans="1:19" ht="26.1" customHeight="1">
      <c r="A37" s="574">
        <v>22302</v>
      </c>
      <c r="B37" s="273" t="s">
        <v>249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89">
        <v>0</v>
      </c>
      <c r="M37" s="589">
        <v>0</v>
      </c>
      <c r="N37" s="273">
        <v>0</v>
      </c>
      <c r="O37" s="273">
        <v>0</v>
      </c>
      <c r="P37" s="273">
        <v>0</v>
      </c>
      <c r="Q37" s="273">
        <v>0</v>
      </c>
      <c r="R37" s="247">
        <v>0</v>
      </c>
      <c r="S37" s="273">
        <f t="shared" si="0"/>
        <v>0</v>
      </c>
    </row>
    <row r="38" spans="1:19" ht="26.1" customHeight="1">
      <c r="A38" s="574">
        <v>22305</v>
      </c>
      <c r="B38" s="273" t="s">
        <v>1325</v>
      </c>
      <c r="C38" s="547"/>
      <c r="D38" s="547"/>
      <c r="E38" s="547"/>
      <c r="F38" s="547">
        <v>0</v>
      </c>
      <c r="G38" s="547"/>
      <c r="H38" s="547"/>
      <c r="I38" s="547"/>
      <c r="J38" s="547"/>
      <c r="K38" s="547"/>
      <c r="L38" s="589">
        <v>0</v>
      </c>
      <c r="M38" s="589">
        <v>0</v>
      </c>
      <c r="N38" s="273">
        <v>0</v>
      </c>
      <c r="O38" s="273">
        <v>0</v>
      </c>
      <c r="P38" s="273">
        <v>0</v>
      </c>
      <c r="Q38" s="273">
        <v>0</v>
      </c>
      <c r="R38" s="247">
        <v>0</v>
      </c>
      <c r="S38" s="273">
        <f t="shared" si="0"/>
        <v>0</v>
      </c>
    </row>
    <row r="39" spans="1:19" ht="26.1" customHeight="1">
      <c r="A39" s="574">
        <v>22313</v>
      </c>
      <c r="B39" s="273" t="s">
        <v>251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89">
        <v>4575000</v>
      </c>
      <c r="M39" s="589">
        <f t="shared" ref="M39:R39" si="7">4575000*70%</f>
        <v>3202500</v>
      </c>
      <c r="N39" s="273">
        <f t="shared" si="7"/>
        <v>3202500</v>
      </c>
      <c r="O39" s="273">
        <f t="shared" si="7"/>
        <v>3202500</v>
      </c>
      <c r="P39" s="273">
        <f t="shared" si="7"/>
        <v>3202500</v>
      </c>
      <c r="Q39" s="273">
        <f t="shared" si="7"/>
        <v>3202500</v>
      </c>
      <c r="R39" s="247">
        <f t="shared" si="7"/>
        <v>3202500</v>
      </c>
      <c r="S39" s="273">
        <f t="shared" si="0"/>
        <v>0</v>
      </c>
    </row>
    <row r="40" spans="1:19" ht="26.1" customHeight="1">
      <c r="A40" s="574"/>
      <c r="B40" s="298" t="s">
        <v>92</v>
      </c>
      <c r="C40" s="547"/>
      <c r="D40" s="547"/>
      <c r="E40" s="547"/>
      <c r="F40" s="575">
        <f>SUM(F25:F39)</f>
        <v>24632818</v>
      </c>
      <c r="G40" s="575"/>
      <c r="H40" s="575"/>
      <c r="I40" s="575"/>
      <c r="J40" s="575"/>
      <c r="K40" s="575"/>
      <c r="L40" s="590">
        <f t="shared" ref="L40:O40" si="8">SUM(L36:L39)</f>
        <v>63150000</v>
      </c>
      <c r="M40" s="590">
        <f t="shared" si="8"/>
        <v>44205000</v>
      </c>
      <c r="N40" s="298">
        <f t="shared" si="8"/>
        <v>44205000</v>
      </c>
      <c r="O40" s="298">
        <f t="shared" si="8"/>
        <v>44205000</v>
      </c>
      <c r="P40" s="298">
        <f>SUM(P36:P39)</f>
        <v>44205000</v>
      </c>
      <c r="Q40" s="298">
        <f>SUM(Q36:Q39)</f>
        <v>62205000</v>
      </c>
      <c r="R40" s="256">
        <f>SUM(R36:R39)</f>
        <v>62205000</v>
      </c>
      <c r="S40" s="298">
        <f t="shared" si="0"/>
        <v>0</v>
      </c>
    </row>
    <row r="41" spans="1:19" ht="26.1" customHeight="1">
      <c r="A41" s="573">
        <v>270</v>
      </c>
      <c r="B41" s="298" t="s">
        <v>253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89"/>
      <c r="M41" s="589"/>
      <c r="N41" s="273"/>
      <c r="O41" s="273"/>
      <c r="P41" s="273"/>
      <c r="Q41" s="273"/>
      <c r="R41" s="247"/>
      <c r="S41" s="273">
        <f t="shared" si="0"/>
        <v>0</v>
      </c>
    </row>
    <row r="42" spans="1:19" ht="26.1" customHeight="1">
      <c r="A42" s="573">
        <v>2710</v>
      </c>
      <c r="B42" s="298" t="s">
        <v>252</v>
      </c>
      <c r="C42" s="547"/>
      <c r="D42" s="547"/>
      <c r="E42" s="547"/>
      <c r="F42" s="547"/>
      <c r="G42" s="547"/>
      <c r="H42" s="547"/>
      <c r="I42" s="547"/>
      <c r="J42" s="547"/>
      <c r="K42" s="547"/>
      <c r="L42" s="589"/>
      <c r="M42" s="589"/>
      <c r="N42" s="273"/>
      <c r="O42" s="273"/>
      <c r="P42" s="273"/>
      <c r="Q42" s="273"/>
      <c r="R42" s="247"/>
      <c r="S42" s="273">
        <f t="shared" si="0"/>
        <v>0</v>
      </c>
    </row>
    <row r="43" spans="1:19" ht="26.1" customHeight="1">
      <c r="A43" s="574">
        <v>27601</v>
      </c>
      <c r="B43" s="273" t="s">
        <v>264</v>
      </c>
      <c r="C43" s="547"/>
      <c r="D43" s="547"/>
      <c r="E43" s="547"/>
      <c r="F43" s="547">
        <f>1386274192-71600000-798000-176160000-12600000</f>
        <v>1125116192</v>
      </c>
      <c r="G43" s="547"/>
      <c r="H43" s="547"/>
      <c r="I43" s="547"/>
      <c r="J43" s="547"/>
      <c r="K43" s="547"/>
      <c r="L43" s="589">
        <v>15120800</v>
      </c>
      <c r="M43" s="589"/>
      <c r="N43" s="273">
        <v>0</v>
      </c>
      <c r="O43" s="273">
        <v>20000000</v>
      </c>
      <c r="P43" s="273">
        <v>10000000</v>
      </c>
      <c r="Q43" s="273">
        <v>0</v>
      </c>
      <c r="R43" s="247">
        <v>50000000</v>
      </c>
      <c r="S43" s="273">
        <f t="shared" si="0"/>
        <v>50000000</v>
      </c>
    </row>
    <row r="44" spans="1:19" ht="26.1" customHeight="1">
      <c r="A44" s="574">
        <v>27402</v>
      </c>
      <c r="B44" s="273" t="s">
        <v>265</v>
      </c>
      <c r="C44" s="547"/>
      <c r="D44" s="547"/>
      <c r="E44" s="547"/>
      <c r="F44" s="547"/>
      <c r="G44" s="547"/>
      <c r="H44" s="547"/>
      <c r="I44" s="547"/>
      <c r="J44" s="547"/>
      <c r="K44" s="547"/>
      <c r="L44" s="589">
        <v>0</v>
      </c>
      <c r="M44" s="589">
        <v>54000000</v>
      </c>
      <c r="N44" s="273">
        <v>78000000</v>
      </c>
      <c r="O44" s="273">
        <f>N44</f>
        <v>78000000</v>
      </c>
      <c r="P44" s="273">
        <v>0</v>
      </c>
      <c r="Q44" s="273">
        <v>0</v>
      </c>
      <c r="R44" s="247">
        <v>120000000</v>
      </c>
      <c r="S44" s="273">
        <f t="shared" si="0"/>
        <v>120000000</v>
      </c>
    </row>
    <row r="45" spans="1:19" ht="26.1" customHeight="1">
      <c r="A45" s="574">
        <v>27502</v>
      </c>
      <c r="B45" s="273" t="s">
        <v>148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89">
        <v>5958400</v>
      </c>
      <c r="M45" s="589">
        <f>5958400*70%</f>
        <v>4170879.9999999995</v>
      </c>
      <c r="N45" s="273">
        <v>0</v>
      </c>
      <c r="O45" s="273">
        <v>0</v>
      </c>
      <c r="P45" s="273">
        <v>0</v>
      </c>
      <c r="Q45" s="273">
        <v>0</v>
      </c>
      <c r="R45" s="247">
        <v>0</v>
      </c>
      <c r="S45" s="273">
        <f t="shared" si="0"/>
        <v>0</v>
      </c>
    </row>
    <row r="46" spans="1:19" ht="26.1" customHeight="1">
      <c r="A46" s="574">
        <v>27604</v>
      </c>
      <c r="B46" s="273" t="s">
        <v>149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89">
        <v>47916000</v>
      </c>
      <c r="M46" s="589">
        <f>47916000*70%</f>
        <v>33541199.999999996</v>
      </c>
      <c r="N46" s="273">
        <v>0</v>
      </c>
      <c r="O46" s="273">
        <v>0</v>
      </c>
      <c r="P46" s="273">
        <v>0</v>
      </c>
      <c r="Q46" s="273">
        <v>0</v>
      </c>
      <c r="R46" s="247">
        <v>0</v>
      </c>
      <c r="S46" s="273">
        <f t="shared" si="0"/>
        <v>0</v>
      </c>
    </row>
    <row r="47" spans="1:19" ht="26.1" customHeight="1">
      <c r="A47" s="574"/>
      <c r="B47" s="298" t="s">
        <v>92</v>
      </c>
      <c r="C47" s="547"/>
      <c r="D47" s="547"/>
      <c r="E47" s="547"/>
      <c r="F47" s="547"/>
      <c r="G47" s="547"/>
      <c r="H47" s="547"/>
      <c r="I47" s="547"/>
      <c r="J47" s="547"/>
      <c r="K47" s="547"/>
      <c r="L47" s="590">
        <f t="shared" ref="L47:O47" si="9">SUM(L43:L46)</f>
        <v>68995200</v>
      </c>
      <c r="M47" s="590">
        <f t="shared" si="9"/>
        <v>91712080</v>
      </c>
      <c r="N47" s="298">
        <f t="shared" si="9"/>
        <v>78000000</v>
      </c>
      <c r="O47" s="298">
        <f t="shared" si="9"/>
        <v>98000000</v>
      </c>
      <c r="P47" s="298">
        <f>SUM(P43:P46)</f>
        <v>10000000</v>
      </c>
      <c r="Q47" s="298">
        <f>SUM(Q43:Q46)</f>
        <v>0</v>
      </c>
      <c r="R47" s="256">
        <f>SUM(R43:R46)</f>
        <v>170000000</v>
      </c>
      <c r="S47" s="298">
        <f t="shared" si="0"/>
        <v>170000000</v>
      </c>
    </row>
    <row r="48" spans="1:19" ht="26.1" customHeight="1">
      <c r="A48" s="666">
        <v>2510</v>
      </c>
      <c r="B48" s="297" t="s">
        <v>1296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90"/>
      <c r="M48" s="590"/>
      <c r="N48" s="298"/>
      <c r="O48" s="298"/>
      <c r="P48" s="298"/>
      <c r="Q48" s="298"/>
      <c r="R48" s="256"/>
      <c r="S48" s="298">
        <f t="shared" si="0"/>
        <v>0</v>
      </c>
    </row>
    <row r="49" spans="1:19" ht="26.1" customHeight="1">
      <c r="A49" s="671">
        <v>25102</v>
      </c>
      <c r="B49" s="296" t="s">
        <v>1391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90"/>
      <c r="M49" s="590"/>
      <c r="N49" s="298"/>
      <c r="O49" s="298"/>
      <c r="P49" s="298"/>
      <c r="Q49" s="273">
        <v>50000000</v>
      </c>
      <c r="R49" s="247">
        <v>50000000</v>
      </c>
      <c r="S49" s="298">
        <f t="shared" si="0"/>
        <v>0</v>
      </c>
    </row>
    <row r="50" spans="1:19" ht="26.1" customHeight="1">
      <c r="A50" s="671" t="s">
        <v>1390</v>
      </c>
      <c r="B50" s="296"/>
      <c r="C50" s="547"/>
      <c r="D50" s="547"/>
      <c r="E50" s="547"/>
      <c r="F50" s="547"/>
      <c r="G50" s="547"/>
      <c r="H50" s="547"/>
      <c r="I50" s="547"/>
      <c r="J50" s="547"/>
      <c r="K50" s="547"/>
      <c r="L50" s="590"/>
      <c r="M50" s="590"/>
      <c r="N50" s="298"/>
      <c r="O50" s="298"/>
      <c r="P50" s="298"/>
      <c r="Q50" s="298">
        <f>SUM(Q49)</f>
        <v>50000000</v>
      </c>
      <c r="R50" s="256">
        <f>SUM(R49)</f>
        <v>50000000</v>
      </c>
      <c r="S50" s="298">
        <f t="shared" si="0"/>
        <v>0</v>
      </c>
    </row>
    <row r="51" spans="1:19" ht="26.1" customHeight="1">
      <c r="A51" s="574"/>
      <c r="B51" s="298" t="s">
        <v>37</v>
      </c>
      <c r="C51" s="547"/>
      <c r="D51" s="547"/>
      <c r="E51" s="547"/>
      <c r="F51" s="547"/>
      <c r="G51" s="547"/>
      <c r="H51" s="547"/>
      <c r="I51" s="547"/>
      <c r="J51" s="547"/>
      <c r="K51" s="547"/>
      <c r="L51" s="590">
        <f>L47+L40+L34+L26+L11</f>
        <v>581046650</v>
      </c>
      <c r="M51" s="590">
        <f>M47+M40+M34+M26+M11</f>
        <v>629564751</v>
      </c>
      <c r="N51" s="298">
        <f>N47+N40+N34+N26+N11</f>
        <v>30285349556</v>
      </c>
      <c r="O51" s="298">
        <f>O47+O40+O34+O26+O11</f>
        <v>30824085916</v>
      </c>
      <c r="P51" s="298">
        <f>P47+P40+P34+P26+P11</f>
        <v>32083316276</v>
      </c>
      <c r="Q51" s="298">
        <f>Q47+Q40+Q34+Q26+Q11+Q50</f>
        <v>32368789556</v>
      </c>
      <c r="R51" s="256">
        <f>R11+R26+R34+R40+R47+R50</f>
        <v>32123263380</v>
      </c>
      <c r="S51" s="298">
        <f t="shared" si="0"/>
        <v>-245526176</v>
      </c>
    </row>
    <row r="52" spans="1:19" ht="26.1" customHeight="1">
      <c r="S52" s="498">
        <f>N52-O52</f>
        <v>0</v>
      </c>
    </row>
  </sheetData>
  <phoneticPr fontId="0" type="noConversion"/>
  <printOptions gridLines="1"/>
  <pageMargins left="0.41" right="0.28000000000000003" top="0.91" bottom="0.62" header="0.33" footer="0.17"/>
  <pageSetup scale="50" orientation="portrait" r:id="rId1"/>
  <headerFooter alignWithMargins="0">
    <oddHeader>&amp;C&amp;"Algerian,Bold"&amp;28HAY'ADDA ABAABUL-KASAARKA QARANKA (NDRC)</oddHeader>
    <oddFooter>&amp;R&amp;"Times New Roman,Bold"&amp;14 48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topLeftCell="A31" zoomScale="60" workbookViewId="0">
      <selection activeCell="R51" sqref="R51"/>
    </sheetView>
  </sheetViews>
  <sheetFormatPr defaultRowHeight="21.95" customHeight="1"/>
  <cols>
    <col min="1" max="1" width="16.33203125" style="791" customWidth="1"/>
    <col min="2" max="2" width="77.83203125" style="496" customWidth="1"/>
    <col min="3" max="11" width="9.33203125" style="496" hidden="1" customWidth="1"/>
    <col min="12" max="12" width="17.6640625" style="496" hidden="1" customWidth="1"/>
    <col min="13" max="14" width="24.5" style="496" hidden="1" customWidth="1"/>
    <col min="15" max="16" width="27.6640625" style="496" hidden="1" customWidth="1"/>
    <col min="17" max="19" width="27.6640625" style="496" customWidth="1"/>
    <col min="20" max="20" width="18.33203125" style="496" customWidth="1"/>
    <col min="21" max="16384" width="9.33203125" style="496"/>
  </cols>
  <sheetData>
    <row r="1" spans="1:20" ht="21.95" customHeight="1">
      <c r="A1" s="769" t="s">
        <v>39</v>
      </c>
      <c r="B1" s="828" t="s">
        <v>1020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829"/>
      <c r="O1" s="829"/>
      <c r="P1" s="829"/>
      <c r="Q1" s="829"/>
      <c r="R1" s="829"/>
      <c r="S1" s="829"/>
      <c r="T1" s="830"/>
    </row>
    <row r="2" spans="1:20" ht="21.95" customHeight="1">
      <c r="A2" s="769" t="s">
        <v>25</v>
      </c>
      <c r="B2" s="828" t="s">
        <v>1</v>
      </c>
      <c r="C2" s="831" t="s">
        <v>26</v>
      </c>
      <c r="D2" s="831" t="s">
        <v>2</v>
      </c>
      <c r="E2" s="831" t="s">
        <v>43</v>
      </c>
      <c r="F2" s="831" t="s">
        <v>46</v>
      </c>
      <c r="G2" s="831" t="s">
        <v>55</v>
      </c>
      <c r="H2" s="831" t="s">
        <v>64</v>
      </c>
      <c r="I2" s="831" t="s">
        <v>101</v>
      </c>
      <c r="J2" s="831" t="s">
        <v>107</v>
      </c>
      <c r="K2" s="831" t="s">
        <v>118</v>
      </c>
      <c r="L2" s="831" t="s">
        <v>151</v>
      </c>
      <c r="M2" s="831" t="s">
        <v>257</v>
      </c>
      <c r="N2" s="831" t="s">
        <v>814</v>
      </c>
      <c r="O2" s="831" t="s">
        <v>874</v>
      </c>
      <c r="P2" s="831" t="s">
        <v>973</v>
      </c>
      <c r="Q2" s="831" t="s">
        <v>1160</v>
      </c>
      <c r="R2" s="831" t="s">
        <v>1320</v>
      </c>
      <c r="S2" s="831" t="s">
        <v>56</v>
      </c>
      <c r="T2" s="832"/>
    </row>
    <row r="3" spans="1:20" ht="21.95" customHeight="1">
      <c r="A3" s="833">
        <v>210</v>
      </c>
      <c r="B3" s="828" t="s">
        <v>363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2"/>
    </row>
    <row r="4" spans="1:20" ht="21.95" customHeight="1">
      <c r="A4" s="833">
        <v>2110</v>
      </c>
      <c r="B4" s="829" t="s">
        <v>27</v>
      </c>
      <c r="C4" s="829"/>
      <c r="D4" s="829"/>
      <c r="E4" s="829"/>
      <c r="F4" s="829" t="s">
        <v>4</v>
      </c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30"/>
    </row>
    <row r="5" spans="1:20" ht="21.95" customHeight="1">
      <c r="A5" s="771">
        <v>21101</v>
      </c>
      <c r="B5" s="834" t="s">
        <v>28</v>
      </c>
      <c r="C5" s="834">
        <v>180000</v>
      </c>
      <c r="D5" s="834">
        <v>21588000</v>
      </c>
      <c r="E5" s="834">
        <v>21588000</v>
      </c>
      <c r="F5" s="834">
        <v>14196000</v>
      </c>
      <c r="G5" s="834">
        <v>17388000</v>
      </c>
      <c r="H5" s="834">
        <f>G5+3912000</f>
        <v>21300000</v>
      </c>
      <c r="I5" s="834">
        <f>25802400+3198000</f>
        <v>29000400</v>
      </c>
      <c r="J5" s="834">
        <f>25802400+27000000+3000000</f>
        <v>55802400</v>
      </c>
      <c r="K5" s="834">
        <f>55802400+6000000</f>
        <v>61802400</v>
      </c>
      <c r="L5" s="834">
        <f>55802400+6000000</f>
        <v>61802400</v>
      </c>
      <c r="M5" s="834">
        <f>shaqaalaha2011!H44-74131200-108000000</f>
        <v>192549600</v>
      </c>
      <c r="N5" s="834">
        <v>141211200</v>
      </c>
      <c r="O5" s="834">
        <v>368858880</v>
      </c>
      <c r="P5" s="834">
        <v>424756800</v>
      </c>
      <c r="Q5" s="834">
        <v>465865920</v>
      </c>
      <c r="R5" s="834">
        <v>781054560</v>
      </c>
      <c r="S5" s="834">
        <f>R5-Q5</f>
        <v>315188640</v>
      </c>
      <c r="T5" s="510"/>
    </row>
    <row r="6" spans="1:20" ht="21.95" customHeight="1">
      <c r="A6" s="771">
        <v>21102</v>
      </c>
      <c r="B6" s="834" t="s">
        <v>29</v>
      </c>
      <c r="C6" s="834">
        <v>3219320</v>
      </c>
      <c r="D6" s="834">
        <v>0</v>
      </c>
      <c r="E6" s="834">
        <v>0</v>
      </c>
      <c r="F6" s="834">
        <v>0</v>
      </c>
      <c r="G6" s="834">
        <f>F6</f>
        <v>0</v>
      </c>
      <c r="H6" s="834">
        <f>G6</f>
        <v>0</v>
      </c>
      <c r="I6" s="834">
        <v>0</v>
      </c>
      <c r="J6" s="834">
        <v>0</v>
      </c>
      <c r="K6" s="834">
        <v>0</v>
      </c>
      <c r="L6" s="834">
        <v>0</v>
      </c>
      <c r="M6" s="834">
        <v>0</v>
      </c>
      <c r="N6" s="834">
        <v>97200000</v>
      </c>
      <c r="O6" s="834">
        <v>97200000</v>
      </c>
      <c r="P6" s="834">
        <v>97200000</v>
      </c>
      <c r="Q6" s="730">
        <v>194400000</v>
      </c>
      <c r="R6" s="730">
        <v>194400000</v>
      </c>
      <c r="S6" s="834">
        <f t="shared" ref="S6:S51" si="0">R6-Q6</f>
        <v>0</v>
      </c>
      <c r="T6" s="510"/>
    </row>
    <row r="7" spans="1:20" ht="21.95" customHeight="1">
      <c r="A7" s="771">
        <v>21103</v>
      </c>
      <c r="B7" s="834" t="s">
        <v>467</v>
      </c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>
        <v>32400000</v>
      </c>
      <c r="N7" s="834">
        <v>43200000</v>
      </c>
      <c r="O7" s="834">
        <v>252000000</v>
      </c>
      <c r="P7" s="834">
        <v>270000000</v>
      </c>
      <c r="Q7" s="730">
        <v>342000000</v>
      </c>
      <c r="R7" s="905">
        <v>342000000</v>
      </c>
      <c r="S7" s="834">
        <f t="shared" si="0"/>
        <v>0</v>
      </c>
      <c r="T7" s="510"/>
    </row>
    <row r="8" spans="1:20" ht="21.95" customHeight="1">
      <c r="A8" s="771">
        <v>21105</v>
      </c>
      <c r="B8" s="834" t="s">
        <v>465</v>
      </c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>
        <v>24000000</v>
      </c>
      <c r="N8" s="834">
        <f>M8</f>
        <v>24000000</v>
      </c>
      <c r="O8" s="834">
        <v>48000000</v>
      </c>
      <c r="P8" s="834">
        <v>91584000</v>
      </c>
      <c r="Q8" s="834">
        <v>169584400</v>
      </c>
      <c r="R8" s="906">
        <v>229584000</v>
      </c>
      <c r="S8" s="834">
        <f t="shared" si="0"/>
        <v>59999600</v>
      </c>
      <c r="T8" s="510"/>
    </row>
    <row r="9" spans="1:20" ht="21.95" customHeight="1">
      <c r="A9" s="771"/>
      <c r="B9" s="731" t="s">
        <v>5</v>
      </c>
      <c r="C9" s="834"/>
      <c r="D9" s="834"/>
      <c r="E9" s="834"/>
      <c r="F9" s="834"/>
      <c r="G9" s="834"/>
      <c r="H9" s="834"/>
      <c r="I9" s="834"/>
      <c r="J9" s="834"/>
      <c r="K9" s="731">
        <f>SUM(K5:K6)</f>
        <v>61802400</v>
      </c>
      <c r="L9" s="731">
        <f>SUM(L5:L6)</f>
        <v>61802400</v>
      </c>
      <c r="M9" s="731">
        <f>M8+M7+M6+M5</f>
        <v>248949600</v>
      </c>
      <c r="N9" s="731">
        <f>SUM(N5:N8)</f>
        <v>305611200</v>
      </c>
      <c r="O9" s="731">
        <f>SUM(O5:O8)</f>
        <v>766058880</v>
      </c>
      <c r="P9" s="731">
        <f>SUM(P5:P8)</f>
        <v>883540800</v>
      </c>
      <c r="Q9" s="731">
        <f>SUM(Q5:Q8)</f>
        <v>1171850320</v>
      </c>
      <c r="R9" s="907">
        <f>SUM(R5:R8)</f>
        <v>1547038560</v>
      </c>
      <c r="S9" s="731">
        <f t="shared" si="0"/>
        <v>375188240</v>
      </c>
      <c r="T9" s="772"/>
    </row>
    <row r="10" spans="1:20" ht="21.95" customHeight="1">
      <c r="A10" s="770">
        <v>220</v>
      </c>
      <c r="B10" s="731" t="s">
        <v>160</v>
      </c>
      <c r="C10" s="834">
        <v>0</v>
      </c>
      <c r="D10" s="834">
        <v>0</v>
      </c>
      <c r="E10" s="834">
        <v>0</v>
      </c>
      <c r="F10" s="834">
        <v>0</v>
      </c>
      <c r="G10" s="481"/>
      <c r="H10" s="835" t="s">
        <v>102</v>
      </c>
      <c r="I10" s="835"/>
      <c r="J10" s="835"/>
      <c r="K10" s="835"/>
      <c r="L10" s="835"/>
      <c r="M10" s="835"/>
      <c r="N10" s="835"/>
      <c r="O10" s="835"/>
      <c r="P10" s="835"/>
      <c r="Q10" s="835"/>
      <c r="R10" s="908"/>
      <c r="S10" s="834">
        <f t="shared" si="0"/>
        <v>0</v>
      </c>
      <c r="T10" s="510"/>
    </row>
    <row r="11" spans="1:20" ht="21.95" customHeight="1">
      <c r="A11" s="770">
        <v>2210</v>
      </c>
      <c r="B11" s="731" t="s">
        <v>364</v>
      </c>
      <c r="C11" s="834"/>
      <c r="D11" s="834"/>
      <c r="E11" s="834"/>
      <c r="F11" s="834"/>
      <c r="G11" s="481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908"/>
      <c r="S11" s="834">
        <f t="shared" si="0"/>
        <v>0</v>
      </c>
      <c r="T11" s="510"/>
    </row>
    <row r="12" spans="1:20" ht="21.95" customHeight="1">
      <c r="A12" s="771">
        <v>22101</v>
      </c>
      <c r="B12" s="834" t="s">
        <v>159</v>
      </c>
      <c r="C12" s="834">
        <v>6300000</v>
      </c>
      <c r="D12" s="834">
        <v>9000000</v>
      </c>
      <c r="E12" s="834">
        <f>9000000+2000000</f>
        <v>11000000</v>
      </c>
      <c r="F12" s="834">
        <f>9000000+2000000</f>
        <v>11000000</v>
      </c>
      <c r="G12" s="834">
        <v>21600000</v>
      </c>
      <c r="H12" s="834">
        <v>27000000</v>
      </c>
      <c r="I12" s="834">
        <v>27000000</v>
      </c>
      <c r="J12" s="834">
        <v>59942000</v>
      </c>
      <c r="K12" s="834">
        <v>7448000</v>
      </c>
      <c r="L12" s="834">
        <v>7448000</v>
      </c>
      <c r="M12" s="834">
        <f>7448000*70%</f>
        <v>5213600</v>
      </c>
      <c r="N12" s="834">
        <f>7448000*70%</f>
        <v>5213600</v>
      </c>
      <c r="O12" s="834">
        <f>7448000*70%</f>
        <v>5213600</v>
      </c>
      <c r="P12" s="834">
        <f>7448000*70%</f>
        <v>5213600</v>
      </c>
      <c r="Q12" s="834">
        <v>20000000</v>
      </c>
      <c r="R12" s="906">
        <v>20000000</v>
      </c>
      <c r="S12" s="834">
        <f t="shared" si="0"/>
        <v>0</v>
      </c>
      <c r="T12" s="510"/>
    </row>
    <row r="13" spans="1:20" ht="21.95" customHeight="1">
      <c r="A13" s="771">
        <v>22102</v>
      </c>
      <c r="B13" s="834" t="s">
        <v>124</v>
      </c>
      <c r="C13" s="834">
        <v>5150000</v>
      </c>
      <c r="D13" s="834">
        <v>6000000</v>
      </c>
      <c r="E13" s="834">
        <v>6000000</v>
      </c>
      <c r="F13" s="834">
        <v>6000000</v>
      </c>
      <c r="G13" s="834">
        <v>6400000</v>
      </c>
      <c r="H13" s="834">
        <v>8400000</v>
      </c>
      <c r="I13" s="834">
        <v>6256320</v>
      </c>
      <c r="J13" s="834">
        <v>10000000</v>
      </c>
      <c r="K13" s="834">
        <v>0</v>
      </c>
      <c r="L13" s="834">
        <v>0</v>
      </c>
      <c r="M13" s="834">
        <v>0</v>
      </c>
      <c r="N13" s="834">
        <v>0</v>
      </c>
      <c r="O13" s="834">
        <v>0</v>
      </c>
      <c r="P13" s="834">
        <v>0</v>
      </c>
      <c r="Q13" s="834">
        <v>0</v>
      </c>
      <c r="R13" s="906">
        <v>0</v>
      </c>
      <c r="S13" s="834">
        <f t="shared" si="0"/>
        <v>0</v>
      </c>
      <c r="T13" s="510"/>
    </row>
    <row r="14" spans="1:20" ht="21.95" customHeight="1">
      <c r="A14" s="771">
        <v>22103</v>
      </c>
      <c r="B14" s="834" t="s">
        <v>158</v>
      </c>
      <c r="C14" s="834">
        <v>1500000</v>
      </c>
      <c r="D14" s="834">
        <v>726000</v>
      </c>
      <c r="E14" s="834">
        <v>726000</v>
      </c>
      <c r="F14" s="834">
        <v>726000</v>
      </c>
      <c r="G14" s="834">
        <v>38400000</v>
      </c>
      <c r="H14" s="834">
        <v>48000000</v>
      </c>
      <c r="I14" s="834">
        <v>5958400</v>
      </c>
      <c r="J14" s="834">
        <v>40000000</v>
      </c>
      <c r="K14" s="834">
        <v>0</v>
      </c>
      <c r="L14" s="834">
        <v>0</v>
      </c>
      <c r="M14" s="834">
        <v>0</v>
      </c>
      <c r="N14" s="834">
        <v>0</v>
      </c>
      <c r="O14" s="834">
        <v>0</v>
      </c>
      <c r="P14" s="834">
        <v>0</v>
      </c>
      <c r="Q14" s="834">
        <v>0</v>
      </c>
      <c r="R14" s="906">
        <v>0</v>
      </c>
      <c r="S14" s="834">
        <f t="shared" si="0"/>
        <v>0</v>
      </c>
      <c r="T14" s="510"/>
    </row>
    <row r="15" spans="1:20" ht="21.95" customHeight="1">
      <c r="A15" s="771">
        <v>22104</v>
      </c>
      <c r="B15" s="834" t="s">
        <v>157</v>
      </c>
      <c r="C15" s="834">
        <v>0</v>
      </c>
      <c r="D15" s="834">
        <v>0</v>
      </c>
      <c r="E15" s="834">
        <v>0</v>
      </c>
      <c r="F15" s="834">
        <v>0</v>
      </c>
      <c r="G15" s="834">
        <v>2400000</v>
      </c>
      <c r="H15" s="834">
        <v>3000000</v>
      </c>
      <c r="I15" s="834">
        <v>2234400</v>
      </c>
      <c r="J15" s="834">
        <v>3500000</v>
      </c>
      <c r="K15" s="834">
        <v>11172000</v>
      </c>
      <c r="L15" s="834">
        <v>30000000</v>
      </c>
      <c r="M15" s="834">
        <v>21000000</v>
      </c>
      <c r="N15" s="834">
        <v>21000000</v>
      </c>
      <c r="O15" s="834">
        <v>21000000</v>
      </c>
      <c r="P15" s="834">
        <v>21000000</v>
      </c>
      <c r="Q15" s="834">
        <v>36000000</v>
      </c>
      <c r="R15" s="906">
        <v>50000000</v>
      </c>
      <c r="S15" s="834">
        <f t="shared" si="0"/>
        <v>14000000</v>
      </c>
      <c r="T15" s="510"/>
    </row>
    <row r="16" spans="1:20" ht="21.95" customHeight="1">
      <c r="A16" s="771">
        <v>22105</v>
      </c>
      <c r="B16" s="834" t="s">
        <v>161</v>
      </c>
      <c r="C16" s="731">
        <f>SUM(C10:C15)</f>
        <v>12950000</v>
      </c>
      <c r="D16" s="731">
        <f>SUM(D10:D15)</f>
        <v>15726000</v>
      </c>
      <c r="E16" s="731">
        <f>SUM(E10:E15)</f>
        <v>17726000</v>
      </c>
      <c r="F16" s="731">
        <f>SUM(F10:F15)</f>
        <v>17726000</v>
      </c>
      <c r="G16" s="731">
        <f>SUM(G12:G15)</f>
        <v>68800000</v>
      </c>
      <c r="H16" s="731">
        <f>SUM(H12:H15)</f>
        <v>86400000</v>
      </c>
      <c r="I16" s="731">
        <f>SUM(I10:I15)</f>
        <v>41449120</v>
      </c>
      <c r="J16" s="731">
        <f>SUM(J12:J15)</f>
        <v>113442000</v>
      </c>
      <c r="K16" s="731">
        <v>0</v>
      </c>
      <c r="L16" s="731">
        <v>0</v>
      </c>
      <c r="M16" s="834">
        <f>97920000*70%</f>
        <v>68544000</v>
      </c>
      <c r="N16" s="834">
        <v>0</v>
      </c>
      <c r="O16" s="834">
        <v>72000000</v>
      </c>
      <c r="P16" s="834">
        <v>72000000</v>
      </c>
      <c r="Q16" s="834">
        <v>86400000</v>
      </c>
      <c r="R16" s="906">
        <v>194000000</v>
      </c>
      <c r="S16" s="834">
        <f t="shared" si="0"/>
        <v>107600000</v>
      </c>
      <c r="T16" s="510"/>
    </row>
    <row r="17" spans="1:20" ht="21.95" customHeight="1">
      <c r="A17" s="771">
        <v>22106</v>
      </c>
      <c r="B17" s="834" t="s">
        <v>388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>
        <v>0</v>
      </c>
      <c r="M17" s="834">
        <f>16800000*70%</f>
        <v>11760000</v>
      </c>
      <c r="N17" s="834">
        <v>0</v>
      </c>
      <c r="O17" s="834">
        <v>0</v>
      </c>
      <c r="P17" s="834">
        <v>0</v>
      </c>
      <c r="Q17" s="834">
        <v>0</v>
      </c>
      <c r="R17" s="906">
        <v>0</v>
      </c>
      <c r="S17" s="834">
        <f t="shared" si="0"/>
        <v>0</v>
      </c>
      <c r="T17" s="510"/>
    </row>
    <row r="18" spans="1:20" ht="21.95" customHeight="1">
      <c r="A18" s="771">
        <v>22107</v>
      </c>
      <c r="B18" s="834" t="s">
        <v>156</v>
      </c>
      <c r="C18" s="834"/>
      <c r="D18" s="834"/>
      <c r="E18" s="834"/>
      <c r="F18" s="834"/>
      <c r="G18" s="834"/>
      <c r="H18" s="834"/>
      <c r="I18" s="834"/>
      <c r="J18" s="834"/>
      <c r="K18" s="834">
        <v>22344000</v>
      </c>
      <c r="L18" s="834">
        <v>50000000</v>
      </c>
      <c r="M18" s="834">
        <f>50000000*70%</f>
        <v>35000000</v>
      </c>
      <c r="N18" s="834">
        <v>30000000</v>
      </c>
      <c r="O18" s="834">
        <v>60000000</v>
      </c>
      <c r="P18" s="834">
        <v>60000000</v>
      </c>
      <c r="Q18" s="834">
        <v>60000000</v>
      </c>
      <c r="R18" s="906">
        <v>90000000</v>
      </c>
      <c r="S18" s="834">
        <f t="shared" si="0"/>
        <v>30000000</v>
      </c>
      <c r="T18" s="510"/>
    </row>
    <row r="19" spans="1:20" ht="21.95" customHeight="1">
      <c r="A19" s="771">
        <v>22109</v>
      </c>
      <c r="B19" s="834" t="s">
        <v>155</v>
      </c>
      <c r="C19" s="834">
        <v>18500000</v>
      </c>
      <c r="D19" s="834">
        <v>2500000</v>
      </c>
      <c r="E19" s="834">
        <v>500000</v>
      </c>
      <c r="F19" s="834">
        <v>0</v>
      </c>
      <c r="G19" s="834">
        <v>4000000</v>
      </c>
      <c r="H19" s="834">
        <v>5000000</v>
      </c>
      <c r="I19" s="834">
        <v>0</v>
      </c>
      <c r="J19" s="834">
        <v>0</v>
      </c>
      <c r="K19" s="834">
        <v>7448000</v>
      </c>
      <c r="L19" s="834">
        <v>7448000</v>
      </c>
      <c r="M19" s="834">
        <f>7448000*70%</f>
        <v>5213600</v>
      </c>
      <c r="N19" s="834">
        <f>7448000*70%</f>
        <v>5213600</v>
      </c>
      <c r="O19" s="834">
        <f>7448000*70%</f>
        <v>5213600</v>
      </c>
      <c r="P19" s="834">
        <f>7448000*70%</f>
        <v>5213600</v>
      </c>
      <c r="Q19" s="834">
        <v>15000000</v>
      </c>
      <c r="R19" s="906">
        <v>15000000</v>
      </c>
      <c r="S19" s="834">
        <f t="shared" si="0"/>
        <v>0</v>
      </c>
      <c r="T19" s="510"/>
    </row>
    <row r="20" spans="1:20" ht="21.95" customHeight="1">
      <c r="A20" s="771">
        <v>22112</v>
      </c>
      <c r="B20" s="834" t="s">
        <v>154</v>
      </c>
      <c r="C20" s="834">
        <v>1000000</v>
      </c>
      <c r="D20" s="834">
        <v>1500000</v>
      </c>
      <c r="E20" s="834">
        <v>0</v>
      </c>
      <c r="F20" s="834">
        <v>0</v>
      </c>
      <c r="G20" s="834">
        <v>0</v>
      </c>
      <c r="H20" s="834">
        <v>0</v>
      </c>
      <c r="I20" s="834">
        <v>0</v>
      </c>
      <c r="J20" s="834">
        <v>0</v>
      </c>
      <c r="K20" s="834">
        <v>0</v>
      </c>
      <c r="L20" s="834">
        <v>0</v>
      </c>
      <c r="M20" s="834">
        <f>5000000*70%</f>
        <v>3500000</v>
      </c>
      <c r="N20" s="834">
        <f>5000000*70%</f>
        <v>3500000</v>
      </c>
      <c r="O20" s="834">
        <f>5000000*70%</f>
        <v>3500000</v>
      </c>
      <c r="P20" s="834">
        <v>25000000</v>
      </c>
      <c r="Q20" s="834">
        <v>25000000</v>
      </c>
      <c r="R20" s="906">
        <v>50000000</v>
      </c>
      <c r="S20" s="834">
        <f t="shared" si="0"/>
        <v>25000000</v>
      </c>
      <c r="T20" s="510"/>
    </row>
    <row r="21" spans="1:20" ht="21.95" customHeight="1">
      <c r="A21" s="771">
        <v>22122</v>
      </c>
      <c r="B21" s="834" t="s">
        <v>894</v>
      </c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>
        <v>0</v>
      </c>
      <c r="O21" s="834">
        <v>100000000</v>
      </c>
      <c r="P21" s="834">
        <v>150000000</v>
      </c>
      <c r="Q21" s="834">
        <v>200000000</v>
      </c>
      <c r="R21" s="906">
        <v>370000000</v>
      </c>
      <c r="S21" s="834">
        <f t="shared" si="0"/>
        <v>170000000</v>
      </c>
      <c r="T21" s="510"/>
    </row>
    <row r="22" spans="1:20" ht="21.95" customHeight="1">
      <c r="A22" s="771">
        <v>22129</v>
      </c>
      <c r="B22" s="834" t="s">
        <v>162</v>
      </c>
      <c r="C22" s="834">
        <v>0</v>
      </c>
      <c r="D22" s="834">
        <v>0</v>
      </c>
      <c r="E22" s="834">
        <v>0</v>
      </c>
      <c r="F22" s="834">
        <v>0</v>
      </c>
      <c r="G22" s="834">
        <v>0</v>
      </c>
      <c r="H22" s="834">
        <v>21450000</v>
      </c>
      <c r="I22" s="834">
        <v>0</v>
      </c>
      <c r="J22" s="834">
        <v>0</v>
      </c>
      <c r="K22" s="834">
        <v>0</v>
      </c>
      <c r="L22" s="834">
        <v>0</v>
      </c>
      <c r="M22" s="834">
        <v>0</v>
      </c>
      <c r="N22" s="834">
        <v>0</v>
      </c>
      <c r="O22" s="834">
        <v>0</v>
      </c>
      <c r="P22" s="834">
        <v>0</v>
      </c>
      <c r="Q22" s="834">
        <v>0</v>
      </c>
      <c r="R22" s="906">
        <v>0</v>
      </c>
      <c r="S22" s="834">
        <f t="shared" si="0"/>
        <v>0</v>
      </c>
      <c r="T22" s="510"/>
    </row>
    <row r="23" spans="1:20" ht="21.95" customHeight="1">
      <c r="A23" s="771">
        <v>22132</v>
      </c>
      <c r="B23" s="834" t="s">
        <v>1293</v>
      </c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>
        <v>0</v>
      </c>
      <c r="Q23" s="834">
        <v>150000000</v>
      </c>
      <c r="R23" s="906">
        <v>150000000</v>
      </c>
      <c r="S23" s="834">
        <f t="shared" si="0"/>
        <v>0</v>
      </c>
      <c r="T23" s="510"/>
    </row>
    <row r="24" spans="1:20" ht="21.95" customHeight="1">
      <c r="A24" s="771">
        <v>22137</v>
      </c>
      <c r="B24" s="834" t="s">
        <v>163</v>
      </c>
      <c r="C24" s="834"/>
      <c r="D24" s="834"/>
      <c r="E24" s="834"/>
      <c r="F24" s="834">
        <v>0</v>
      </c>
      <c r="G24" s="834">
        <v>2400000</v>
      </c>
      <c r="H24" s="834">
        <v>3000000</v>
      </c>
      <c r="I24" s="834">
        <v>1117200</v>
      </c>
      <c r="J24" s="834">
        <v>1500000</v>
      </c>
      <c r="K24" s="834">
        <v>0</v>
      </c>
      <c r="L24" s="834">
        <v>0</v>
      </c>
      <c r="M24" s="834">
        <v>0</v>
      </c>
      <c r="N24" s="834">
        <v>0</v>
      </c>
      <c r="O24" s="834">
        <v>0</v>
      </c>
      <c r="P24" s="834">
        <v>0</v>
      </c>
      <c r="Q24" s="834">
        <v>100000000</v>
      </c>
      <c r="R24" s="906">
        <v>200000000</v>
      </c>
      <c r="S24" s="834">
        <f t="shared" si="0"/>
        <v>100000000</v>
      </c>
      <c r="T24" s="510"/>
    </row>
    <row r="25" spans="1:20" ht="21.95" customHeight="1">
      <c r="A25" s="771">
        <v>22155</v>
      </c>
      <c r="B25" s="834" t="s">
        <v>1217</v>
      </c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>
        <v>0</v>
      </c>
      <c r="Q25" s="834">
        <v>120000000</v>
      </c>
      <c r="R25" s="906">
        <v>400000000</v>
      </c>
      <c r="S25" s="834">
        <f t="shared" si="0"/>
        <v>280000000</v>
      </c>
      <c r="T25" s="510"/>
    </row>
    <row r="26" spans="1:20" ht="21.95" customHeight="1">
      <c r="A26" s="771"/>
      <c r="B26" s="731" t="s">
        <v>5</v>
      </c>
      <c r="C26" s="834"/>
      <c r="D26" s="834"/>
      <c r="E26" s="834"/>
      <c r="F26" s="834"/>
      <c r="G26" s="834"/>
      <c r="H26" s="834"/>
      <c r="I26" s="834"/>
      <c r="J26" s="834"/>
      <c r="K26" s="731">
        <f>SUM(K12:K24)</f>
        <v>48412000</v>
      </c>
      <c r="L26" s="731">
        <f>SUM(L12:L24)</f>
        <v>94896000</v>
      </c>
      <c r="M26" s="731">
        <f>SUM(M12:M24)</f>
        <v>150231200</v>
      </c>
      <c r="N26" s="731">
        <f>SUM(N12:N24)</f>
        <v>64927200</v>
      </c>
      <c r="O26" s="731">
        <f>SUM(O12:O24)</f>
        <v>266927200</v>
      </c>
      <c r="P26" s="731">
        <f>SUM(P12:P25)</f>
        <v>338427200</v>
      </c>
      <c r="Q26" s="731">
        <f>SUM(Q12:Q25)</f>
        <v>812400000</v>
      </c>
      <c r="R26" s="907">
        <f>SUM(R12:R25)</f>
        <v>1539000000</v>
      </c>
      <c r="S26" s="731">
        <f t="shared" si="0"/>
        <v>726600000</v>
      </c>
      <c r="T26" s="772"/>
    </row>
    <row r="27" spans="1:20" ht="21.95" customHeight="1">
      <c r="A27" s="770">
        <v>2220</v>
      </c>
      <c r="B27" s="731" t="s">
        <v>427</v>
      </c>
      <c r="C27" s="834">
        <v>2500000</v>
      </c>
      <c r="D27" s="834">
        <v>1000000</v>
      </c>
      <c r="E27" s="834">
        <v>1000000</v>
      </c>
      <c r="F27" s="834">
        <v>2000000</v>
      </c>
      <c r="G27" s="834">
        <v>3200000</v>
      </c>
      <c r="H27" s="834">
        <v>6000000</v>
      </c>
      <c r="I27" s="834">
        <v>7448000</v>
      </c>
      <c r="J27" s="834">
        <v>10000000</v>
      </c>
      <c r="K27" s="834"/>
      <c r="L27" s="834"/>
      <c r="M27" s="834"/>
      <c r="N27" s="834"/>
      <c r="O27" s="834"/>
      <c r="P27" s="834"/>
      <c r="Q27" s="834"/>
      <c r="R27" s="906"/>
      <c r="S27" s="834">
        <f t="shared" si="0"/>
        <v>0</v>
      </c>
      <c r="T27" s="510"/>
    </row>
    <row r="28" spans="1:20" ht="21.95" customHeight="1">
      <c r="A28" s="771">
        <v>22201</v>
      </c>
      <c r="B28" s="834" t="s">
        <v>132</v>
      </c>
      <c r="C28" s="834">
        <v>0</v>
      </c>
      <c r="D28" s="834">
        <v>0</v>
      </c>
      <c r="E28" s="834">
        <v>0</v>
      </c>
      <c r="F28" s="834">
        <v>0</v>
      </c>
      <c r="G28" s="834">
        <v>0</v>
      </c>
      <c r="H28" s="834">
        <v>0</v>
      </c>
      <c r="I28" s="834">
        <v>0</v>
      </c>
      <c r="J28" s="834">
        <v>0</v>
      </c>
      <c r="K28" s="834">
        <v>0</v>
      </c>
      <c r="L28" s="834">
        <v>0</v>
      </c>
      <c r="M28" s="834">
        <v>0</v>
      </c>
      <c r="N28" s="834">
        <v>0</v>
      </c>
      <c r="O28" s="834">
        <v>0</v>
      </c>
      <c r="P28" s="834">
        <v>0</v>
      </c>
      <c r="Q28" s="834">
        <v>0</v>
      </c>
      <c r="R28" s="906">
        <v>0</v>
      </c>
      <c r="S28" s="834">
        <f t="shared" si="0"/>
        <v>0</v>
      </c>
      <c r="T28" s="510"/>
    </row>
    <row r="29" spans="1:20" ht="21.95" customHeight="1">
      <c r="A29" s="771">
        <v>22202</v>
      </c>
      <c r="B29" s="834" t="s">
        <v>133</v>
      </c>
      <c r="C29" s="834">
        <v>0</v>
      </c>
      <c r="D29" s="834">
        <v>500000</v>
      </c>
      <c r="E29" s="834">
        <v>500000</v>
      </c>
      <c r="F29" s="834">
        <v>0</v>
      </c>
      <c r="G29" s="834">
        <v>800000</v>
      </c>
      <c r="H29" s="834">
        <v>1500000</v>
      </c>
      <c r="I29" s="834">
        <v>1117200</v>
      </c>
      <c r="J29" s="834">
        <v>0</v>
      </c>
      <c r="K29" s="834">
        <v>27000000</v>
      </c>
      <c r="L29" s="834">
        <f>60000000+13730000</f>
        <v>73730000</v>
      </c>
      <c r="M29" s="834">
        <v>51611000</v>
      </c>
      <c r="N29" s="834">
        <v>100000000</v>
      </c>
      <c r="O29" s="834">
        <v>150000000</v>
      </c>
      <c r="P29" s="834">
        <v>200000000</v>
      </c>
      <c r="Q29" s="834">
        <v>250000000</v>
      </c>
      <c r="R29" s="906">
        <v>250000000</v>
      </c>
      <c r="S29" s="834">
        <f t="shared" si="0"/>
        <v>0</v>
      </c>
      <c r="T29" s="510"/>
    </row>
    <row r="30" spans="1:20" ht="21.95" customHeight="1">
      <c r="A30" s="771">
        <v>22203</v>
      </c>
      <c r="B30" s="834" t="s">
        <v>127</v>
      </c>
      <c r="C30" s="834">
        <v>0</v>
      </c>
      <c r="D30" s="834">
        <v>0</v>
      </c>
      <c r="E30" s="834">
        <v>0</v>
      </c>
      <c r="F30" s="834">
        <v>0</v>
      </c>
      <c r="G30" s="834">
        <v>0</v>
      </c>
      <c r="H30" s="834">
        <v>0</v>
      </c>
      <c r="I30" s="834">
        <v>0</v>
      </c>
      <c r="J30" s="834">
        <v>0</v>
      </c>
      <c r="K30" s="834">
        <v>6256320</v>
      </c>
      <c r="L30" s="834">
        <v>6256320</v>
      </c>
      <c r="M30" s="834">
        <f>6256320*70%</f>
        <v>4379424</v>
      </c>
      <c r="N30" s="834">
        <v>14379424</v>
      </c>
      <c r="O30" s="834">
        <v>14379424</v>
      </c>
      <c r="P30" s="834">
        <v>14379424</v>
      </c>
      <c r="Q30" s="834">
        <v>20379424</v>
      </c>
      <c r="R30" s="906">
        <v>41000000</v>
      </c>
      <c r="S30" s="834">
        <f t="shared" si="0"/>
        <v>20620576</v>
      </c>
      <c r="T30" s="510"/>
    </row>
    <row r="31" spans="1:20" ht="21.95" customHeight="1">
      <c r="A31" s="771">
        <v>22204</v>
      </c>
      <c r="B31" s="834" t="s">
        <v>128</v>
      </c>
      <c r="C31" s="834">
        <v>0</v>
      </c>
      <c r="D31" s="834">
        <v>0</v>
      </c>
      <c r="E31" s="834">
        <v>0</v>
      </c>
      <c r="F31" s="834">
        <v>0</v>
      </c>
      <c r="G31" s="834">
        <v>0</v>
      </c>
      <c r="H31" s="834">
        <v>0</v>
      </c>
      <c r="I31" s="834">
        <v>0</v>
      </c>
      <c r="J31" s="834">
        <v>0</v>
      </c>
      <c r="K31" s="834">
        <v>5958400</v>
      </c>
      <c r="L31" s="834">
        <v>5958400</v>
      </c>
      <c r="M31" s="834">
        <f>78000000*70%</f>
        <v>54600000</v>
      </c>
      <c r="N31" s="834">
        <v>4600000</v>
      </c>
      <c r="O31" s="834">
        <v>4600000</v>
      </c>
      <c r="P31" s="834">
        <v>4600000</v>
      </c>
      <c r="Q31" s="834">
        <v>8600000</v>
      </c>
      <c r="R31" s="906">
        <v>16800000</v>
      </c>
      <c r="S31" s="834">
        <f t="shared" si="0"/>
        <v>8200000</v>
      </c>
      <c r="T31" s="510"/>
    </row>
    <row r="32" spans="1:20" ht="21.95" customHeight="1">
      <c r="A32" s="771"/>
      <c r="B32" s="731" t="s">
        <v>92</v>
      </c>
      <c r="C32" s="834">
        <v>0</v>
      </c>
      <c r="D32" s="834">
        <v>0</v>
      </c>
      <c r="E32" s="834">
        <v>0</v>
      </c>
      <c r="F32" s="834">
        <v>0</v>
      </c>
      <c r="G32" s="834">
        <v>0</v>
      </c>
      <c r="H32" s="834">
        <v>0</v>
      </c>
      <c r="I32" s="834">
        <v>0</v>
      </c>
      <c r="J32" s="834">
        <v>0</v>
      </c>
      <c r="K32" s="731">
        <f t="shared" ref="K32:P32" si="1">SUM(K28:K31)</f>
        <v>39214720</v>
      </c>
      <c r="L32" s="731">
        <f t="shared" si="1"/>
        <v>85944720</v>
      </c>
      <c r="M32" s="731">
        <f t="shared" si="1"/>
        <v>110590424</v>
      </c>
      <c r="N32" s="731">
        <f t="shared" si="1"/>
        <v>118979424</v>
      </c>
      <c r="O32" s="731">
        <f t="shared" si="1"/>
        <v>168979424</v>
      </c>
      <c r="P32" s="731">
        <f t="shared" si="1"/>
        <v>218979424</v>
      </c>
      <c r="Q32" s="731">
        <f>SUM(Q28:Q31)</f>
        <v>278979424</v>
      </c>
      <c r="R32" s="907">
        <f>SUM(R28:R31)</f>
        <v>307800000</v>
      </c>
      <c r="S32" s="731">
        <f t="shared" si="0"/>
        <v>28820576</v>
      </c>
      <c r="T32" s="772"/>
    </row>
    <row r="33" spans="1:20" ht="21.95" customHeight="1">
      <c r="A33" s="770">
        <v>2230</v>
      </c>
      <c r="B33" s="731" t="s">
        <v>130</v>
      </c>
      <c r="C33" s="834">
        <v>0</v>
      </c>
      <c r="D33" s="834">
        <v>0</v>
      </c>
      <c r="E33" s="834">
        <v>0</v>
      </c>
      <c r="F33" s="834">
        <v>0</v>
      </c>
      <c r="G33" s="834">
        <v>48000000</v>
      </c>
      <c r="H33" s="834">
        <v>48000000</v>
      </c>
      <c r="I33" s="834">
        <v>22344000</v>
      </c>
      <c r="J33" s="834">
        <v>35000000</v>
      </c>
      <c r="K33" s="834"/>
      <c r="L33" s="834"/>
      <c r="M33" s="834"/>
      <c r="N33" s="834"/>
      <c r="O33" s="834"/>
      <c r="P33" s="834"/>
      <c r="Q33" s="834"/>
      <c r="R33" s="906"/>
      <c r="S33" s="834">
        <f t="shared" si="0"/>
        <v>0</v>
      </c>
      <c r="T33" s="772"/>
    </row>
    <row r="34" spans="1:20" ht="21.95" customHeight="1">
      <c r="A34" s="771">
        <v>22301</v>
      </c>
      <c r="B34" s="834" t="s">
        <v>150</v>
      </c>
      <c r="C34" s="834">
        <v>0</v>
      </c>
      <c r="D34" s="834">
        <v>0</v>
      </c>
      <c r="E34" s="834">
        <v>0</v>
      </c>
      <c r="F34" s="834">
        <v>0</v>
      </c>
      <c r="G34" s="834">
        <v>0</v>
      </c>
      <c r="H34" s="834">
        <v>0</v>
      </c>
      <c r="I34" s="834">
        <v>0</v>
      </c>
      <c r="J34" s="834">
        <v>0</v>
      </c>
      <c r="K34" s="834">
        <v>7448000</v>
      </c>
      <c r="L34" s="834">
        <v>10932000</v>
      </c>
      <c r="M34" s="834">
        <f>13932000*70%</f>
        <v>9752400</v>
      </c>
      <c r="N34" s="834">
        <v>29752400</v>
      </c>
      <c r="O34" s="834">
        <v>49752400</v>
      </c>
      <c r="P34" s="834">
        <v>49752400</v>
      </c>
      <c r="Q34" s="834">
        <v>49752400</v>
      </c>
      <c r="R34" s="906">
        <v>80000000</v>
      </c>
      <c r="S34" s="834">
        <f t="shared" si="0"/>
        <v>30247600</v>
      </c>
      <c r="T34" s="772"/>
    </row>
    <row r="35" spans="1:20" ht="21.95" customHeight="1">
      <c r="A35" s="771">
        <v>22302</v>
      </c>
      <c r="B35" s="834" t="s">
        <v>1324</v>
      </c>
      <c r="C35" s="834">
        <v>0</v>
      </c>
      <c r="D35" s="834">
        <v>0</v>
      </c>
      <c r="E35" s="834">
        <v>0</v>
      </c>
      <c r="F35" s="834">
        <v>0</v>
      </c>
      <c r="G35" s="834">
        <v>0</v>
      </c>
      <c r="H35" s="834">
        <v>0</v>
      </c>
      <c r="I35" s="834">
        <v>0</v>
      </c>
      <c r="J35" s="834">
        <v>0</v>
      </c>
      <c r="K35" s="834">
        <v>0</v>
      </c>
      <c r="L35" s="834">
        <v>0</v>
      </c>
      <c r="M35" s="834">
        <v>0</v>
      </c>
      <c r="N35" s="834">
        <v>0</v>
      </c>
      <c r="O35" s="834">
        <v>0</v>
      </c>
      <c r="P35" s="834">
        <v>0</v>
      </c>
      <c r="Q35" s="834">
        <v>0</v>
      </c>
      <c r="R35" s="906">
        <v>0</v>
      </c>
      <c r="S35" s="834">
        <f t="shared" si="0"/>
        <v>0</v>
      </c>
      <c r="T35" s="772"/>
    </row>
    <row r="36" spans="1:20" ht="21.95" customHeight="1">
      <c r="A36" s="771">
        <v>22310</v>
      </c>
      <c r="B36" s="834" t="s">
        <v>152</v>
      </c>
      <c r="C36" s="834">
        <v>0</v>
      </c>
      <c r="D36" s="834">
        <v>0</v>
      </c>
      <c r="E36" s="834">
        <v>0</v>
      </c>
      <c r="F36" s="834">
        <v>0</v>
      </c>
      <c r="G36" s="834">
        <v>0</v>
      </c>
      <c r="H36" s="834">
        <v>0</v>
      </c>
      <c r="I36" s="834">
        <v>0</v>
      </c>
      <c r="J36" s="834">
        <v>0</v>
      </c>
      <c r="K36" s="834">
        <v>1117200</v>
      </c>
      <c r="L36" s="834">
        <v>1117200</v>
      </c>
      <c r="M36" s="834">
        <v>1117200</v>
      </c>
      <c r="N36" s="834">
        <v>1117200</v>
      </c>
      <c r="O36" s="834">
        <v>1117200</v>
      </c>
      <c r="P36" s="834">
        <v>1117200</v>
      </c>
      <c r="Q36" s="834">
        <v>1117200</v>
      </c>
      <c r="R36" s="906">
        <v>1117200</v>
      </c>
      <c r="S36" s="834">
        <f t="shared" si="0"/>
        <v>0</v>
      </c>
      <c r="T36" s="510"/>
    </row>
    <row r="37" spans="1:20" ht="21.95" customHeight="1">
      <c r="A37" s="771"/>
      <c r="B37" s="731" t="s">
        <v>5</v>
      </c>
      <c r="C37" s="834">
        <v>5000000</v>
      </c>
      <c r="D37" s="834">
        <v>5000000</v>
      </c>
      <c r="E37" s="834">
        <v>5000000</v>
      </c>
      <c r="F37" s="834">
        <v>5000000</v>
      </c>
      <c r="G37" s="834">
        <v>4000000</v>
      </c>
      <c r="H37" s="834">
        <v>5000000</v>
      </c>
      <c r="I37" s="834">
        <v>7448000</v>
      </c>
      <c r="J37" s="834">
        <v>30000000</v>
      </c>
      <c r="K37" s="731">
        <f t="shared" ref="K37:O37" si="2">SUM(K34:K36)</f>
        <v>8565200</v>
      </c>
      <c r="L37" s="731">
        <f t="shared" si="2"/>
        <v>12049200</v>
      </c>
      <c r="M37" s="731">
        <f t="shared" si="2"/>
        <v>10869600</v>
      </c>
      <c r="N37" s="731">
        <f t="shared" si="2"/>
        <v>30869600</v>
      </c>
      <c r="O37" s="731">
        <f t="shared" si="2"/>
        <v>50869600</v>
      </c>
      <c r="P37" s="731">
        <f>SUM(P34:P36)</f>
        <v>50869600</v>
      </c>
      <c r="Q37" s="731">
        <f>SUM(Q34:Q36)</f>
        <v>50869600</v>
      </c>
      <c r="R37" s="907">
        <f>SUM(R34:R36)</f>
        <v>81117200</v>
      </c>
      <c r="S37" s="731">
        <f t="shared" si="0"/>
        <v>30247600</v>
      </c>
      <c r="T37" s="510"/>
    </row>
    <row r="38" spans="1:20" ht="21.95" customHeight="1">
      <c r="A38" s="770">
        <v>270</v>
      </c>
      <c r="B38" s="731" t="s">
        <v>365</v>
      </c>
      <c r="C38" s="834"/>
      <c r="D38" s="834"/>
      <c r="E38" s="834"/>
      <c r="F38" s="834">
        <v>0</v>
      </c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906"/>
      <c r="S38" s="834">
        <f t="shared" si="0"/>
        <v>0</v>
      </c>
      <c r="T38" s="510"/>
    </row>
    <row r="39" spans="1:20" ht="21.95" customHeight="1">
      <c r="A39" s="770">
        <v>2710</v>
      </c>
      <c r="B39" s="731" t="s">
        <v>367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906"/>
      <c r="S39" s="834">
        <f t="shared" si="0"/>
        <v>0</v>
      </c>
      <c r="T39" s="510"/>
    </row>
    <row r="40" spans="1:20" ht="21.95" customHeight="1">
      <c r="A40" s="771">
        <v>27601</v>
      </c>
      <c r="B40" s="834" t="s">
        <v>146</v>
      </c>
      <c r="C40" s="834">
        <v>0</v>
      </c>
      <c r="D40" s="834">
        <v>0</v>
      </c>
      <c r="E40" s="834">
        <v>0</v>
      </c>
      <c r="F40" s="834">
        <v>0</v>
      </c>
      <c r="G40" s="834">
        <v>9600000</v>
      </c>
      <c r="H40" s="834">
        <v>10000000</v>
      </c>
      <c r="I40" s="834">
        <v>7448000</v>
      </c>
      <c r="J40" s="834">
        <v>10000000</v>
      </c>
      <c r="K40" s="834">
        <v>0</v>
      </c>
      <c r="L40" s="834">
        <v>0</v>
      </c>
      <c r="M40" s="834">
        <f>5000000*70%</f>
        <v>3500000</v>
      </c>
      <c r="N40" s="834">
        <v>0</v>
      </c>
      <c r="O40" s="834">
        <v>60000000</v>
      </c>
      <c r="P40" s="834">
        <v>15000000</v>
      </c>
      <c r="Q40" s="834">
        <v>0</v>
      </c>
      <c r="R40" s="906">
        <v>0</v>
      </c>
      <c r="S40" s="834">
        <f t="shared" si="0"/>
        <v>0</v>
      </c>
      <c r="T40" s="510"/>
    </row>
    <row r="41" spans="1:20" ht="21.95" customHeight="1">
      <c r="A41" s="771">
        <v>27402</v>
      </c>
      <c r="B41" s="834" t="s">
        <v>147</v>
      </c>
      <c r="C41" s="834">
        <v>0</v>
      </c>
      <c r="D41" s="834">
        <v>0</v>
      </c>
      <c r="E41" s="834">
        <v>0</v>
      </c>
      <c r="F41" s="834">
        <v>0</v>
      </c>
      <c r="G41" s="834">
        <v>0</v>
      </c>
      <c r="H41" s="834">
        <v>0</v>
      </c>
      <c r="I41" s="834">
        <v>0</v>
      </c>
      <c r="J41" s="834">
        <v>0</v>
      </c>
      <c r="K41" s="834">
        <v>0</v>
      </c>
      <c r="L41" s="834">
        <v>0</v>
      </c>
      <c r="M41" s="834">
        <v>108000000</v>
      </c>
      <c r="N41" s="834">
        <v>138000000</v>
      </c>
      <c r="O41" s="834">
        <v>120000000</v>
      </c>
      <c r="P41" s="834">
        <v>75000000</v>
      </c>
      <c r="Q41" s="834">
        <v>192000000</v>
      </c>
      <c r="R41" s="906">
        <v>0</v>
      </c>
      <c r="S41" s="834">
        <f t="shared" si="0"/>
        <v>-192000000</v>
      </c>
      <c r="T41" s="510"/>
    </row>
    <row r="42" spans="1:20" ht="21.95" customHeight="1">
      <c r="A42" s="771">
        <v>27502</v>
      </c>
      <c r="B42" s="834" t="s">
        <v>148</v>
      </c>
      <c r="C42" s="834">
        <v>2500000</v>
      </c>
      <c r="D42" s="834">
        <v>2500000</v>
      </c>
      <c r="E42" s="834">
        <f>2500000+1500000</f>
        <v>4000000</v>
      </c>
      <c r="F42" s="834">
        <f>2500000+1500000</f>
        <v>4000000</v>
      </c>
      <c r="G42" s="834">
        <v>12000000</v>
      </c>
      <c r="H42" s="834">
        <v>15000000</v>
      </c>
      <c r="I42" s="834">
        <v>11172000</v>
      </c>
      <c r="J42" s="834">
        <v>25000000</v>
      </c>
      <c r="K42" s="834">
        <v>0</v>
      </c>
      <c r="L42" s="834"/>
      <c r="M42" s="834"/>
      <c r="N42" s="834"/>
      <c r="O42" s="834"/>
      <c r="P42" s="834"/>
      <c r="Q42" s="834"/>
      <c r="R42" s="906"/>
      <c r="S42" s="834">
        <f t="shared" si="0"/>
        <v>0</v>
      </c>
      <c r="T42" s="510"/>
    </row>
    <row r="43" spans="1:20" ht="21.95" customHeight="1">
      <c r="A43" s="771">
        <v>27604</v>
      </c>
      <c r="B43" s="834" t="s">
        <v>149</v>
      </c>
      <c r="C43" s="834">
        <v>6000000</v>
      </c>
      <c r="D43" s="834">
        <v>10000000</v>
      </c>
      <c r="E43" s="834">
        <v>10000000</v>
      </c>
      <c r="F43" s="834">
        <v>10000000</v>
      </c>
      <c r="G43" s="834">
        <v>0</v>
      </c>
      <c r="H43" s="834">
        <v>0</v>
      </c>
      <c r="I43" s="834">
        <v>0</v>
      </c>
      <c r="J43" s="834">
        <v>0</v>
      </c>
      <c r="K43" s="834">
        <v>1117200</v>
      </c>
      <c r="L43" s="834">
        <v>1117200</v>
      </c>
      <c r="M43" s="834">
        <v>1117200</v>
      </c>
      <c r="N43" s="834">
        <v>0</v>
      </c>
      <c r="O43" s="834">
        <v>0</v>
      </c>
      <c r="P43" s="834">
        <v>0</v>
      </c>
      <c r="Q43" s="834">
        <v>0</v>
      </c>
      <c r="R43" s="906">
        <v>0</v>
      </c>
      <c r="S43" s="834">
        <f t="shared" si="0"/>
        <v>0</v>
      </c>
      <c r="T43" s="510"/>
    </row>
    <row r="44" spans="1:20" ht="21.95" customHeight="1">
      <c r="A44" s="771"/>
      <c r="B44" s="731" t="s">
        <v>92</v>
      </c>
      <c r="C44" s="834">
        <v>0</v>
      </c>
      <c r="D44" s="834">
        <v>1300000</v>
      </c>
      <c r="E44" s="834">
        <v>1300000</v>
      </c>
      <c r="F44" s="834">
        <v>1300000</v>
      </c>
      <c r="G44" s="834">
        <v>0</v>
      </c>
      <c r="H44" s="834">
        <v>0</v>
      </c>
      <c r="I44" s="834">
        <v>0</v>
      </c>
      <c r="J44" s="834">
        <v>0</v>
      </c>
      <c r="K44" s="731">
        <f t="shared" ref="K44:O44" si="3">SUM(K40:K43)</f>
        <v>1117200</v>
      </c>
      <c r="L44" s="731">
        <f t="shared" si="3"/>
        <v>1117200</v>
      </c>
      <c r="M44" s="731">
        <f t="shared" si="3"/>
        <v>112617200</v>
      </c>
      <c r="N44" s="731">
        <f t="shared" si="3"/>
        <v>138000000</v>
      </c>
      <c r="O44" s="731">
        <f t="shared" si="3"/>
        <v>180000000</v>
      </c>
      <c r="P44" s="731">
        <f>SUM(P40:P43)</f>
        <v>90000000</v>
      </c>
      <c r="Q44" s="731">
        <f>SUM(Q40:Q43)</f>
        <v>192000000</v>
      </c>
      <c r="R44" s="907">
        <f>SUM(R40:R43)</f>
        <v>0</v>
      </c>
      <c r="S44" s="834">
        <f t="shared" si="0"/>
        <v>-192000000</v>
      </c>
      <c r="T44" s="772"/>
    </row>
    <row r="45" spans="1:20" ht="21.95" customHeight="1">
      <c r="A45" s="770">
        <v>2720</v>
      </c>
      <c r="B45" s="731" t="s">
        <v>502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906"/>
      <c r="S45" s="834">
        <f t="shared" si="0"/>
        <v>0</v>
      </c>
      <c r="T45" s="510"/>
    </row>
    <row r="46" spans="1:20" ht="21.95" customHeight="1">
      <c r="A46" s="771">
        <v>27202</v>
      </c>
      <c r="B46" s="834" t="s">
        <v>1200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>
        <v>1600000000</v>
      </c>
      <c r="R46" s="906">
        <v>0</v>
      </c>
      <c r="S46" s="834">
        <f t="shared" si="0"/>
        <v>-1600000000</v>
      </c>
      <c r="T46" s="510"/>
    </row>
    <row r="47" spans="1:20" ht="21.95" customHeight="1">
      <c r="A47" s="771"/>
      <c r="B47" s="731" t="s">
        <v>92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731">
        <f>SUM(Q46)</f>
        <v>1600000000</v>
      </c>
      <c r="R47" s="907">
        <f>SUM(R46)</f>
        <v>0</v>
      </c>
      <c r="S47" s="834">
        <f t="shared" si="0"/>
        <v>-1600000000</v>
      </c>
      <c r="T47" s="510"/>
    </row>
    <row r="48" spans="1:20" ht="21.95" customHeight="1">
      <c r="A48" s="770">
        <v>2810</v>
      </c>
      <c r="B48" s="731" t="s">
        <v>1294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731"/>
      <c r="R48" s="907"/>
      <c r="S48" s="834">
        <f t="shared" si="0"/>
        <v>0</v>
      </c>
      <c r="T48" s="510"/>
    </row>
    <row r="49" spans="1:20" ht="21.95" customHeight="1">
      <c r="A49" s="771">
        <v>28102</v>
      </c>
      <c r="B49" s="834" t="s">
        <v>1295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>
        <v>0</v>
      </c>
      <c r="Q49" s="834">
        <v>45000000</v>
      </c>
      <c r="R49" s="906">
        <v>27000000</v>
      </c>
      <c r="S49" s="834">
        <f t="shared" si="0"/>
        <v>-18000000</v>
      </c>
      <c r="T49" s="510"/>
    </row>
    <row r="50" spans="1:20" s="836" customFormat="1" ht="21.95" customHeight="1">
      <c r="A50" s="770"/>
      <c r="B50" s="731" t="s">
        <v>92</v>
      </c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>
        <f>SUM(P49)</f>
        <v>0</v>
      </c>
      <c r="Q50" s="731">
        <f>SUM(Q49)</f>
        <v>45000000</v>
      </c>
      <c r="R50" s="907">
        <f>SUM(R49)</f>
        <v>27000000</v>
      </c>
      <c r="S50" s="731">
        <f t="shared" si="0"/>
        <v>-18000000</v>
      </c>
      <c r="T50" s="772"/>
    </row>
    <row r="51" spans="1:20" ht="21.95" customHeight="1">
      <c r="A51" s="771"/>
      <c r="B51" s="731" t="s">
        <v>37</v>
      </c>
      <c r="C51" s="834">
        <v>3600000</v>
      </c>
      <c r="D51" s="834">
        <v>1614000</v>
      </c>
      <c r="E51" s="834">
        <v>1614000</v>
      </c>
      <c r="F51" s="834">
        <v>1614000</v>
      </c>
      <c r="G51" s="834">
        <v>0</v>
      </c>
      <c r="H51" s="834">
        <v>0</v>
      </c>
      <c r="I51" s="834">
        <v>0</v>
      </c>
      <c r="J51" s="834">
        <v>0</v>
      </c>
      <c r="K51" s="731">
        <f>K37+K44+K32+K26+K9</f>
        <v>159111520</v>
      </c>
      <c r="L51" s="731">
        <f>L37+L44+L32+L26+L9</f>
        <v>255809520</v>
      </c>
      <c r="M51" s="731">
        <f>M37+M44+M32+M26+M9</f>
        <v>633258024</v>
      </c>
      <c r="N51" s="731">
        <f>N37+N44+N32+N26+N9</f>
        <v>658387424</v>
      </c>
      <c r="O51" s="731">
        <f>O44+O37+O32+O26+O9</f>
        <v>1432835104</v>
      </c>
      <c r="P51" s="731">
        <f>P44+P37+P32+P26+P9</f>
        <v>1581817024</v>
      </c>
      <c r="Q51" s="731">
        <f>Q44+Q37+Q32+Q26+Q9+Q47+Q50</f>
        <v>4151099344</v>
      </c>
      <c r="R51" s="731">
        <f>R44+R37+R32+R26+R9+R47+R50</f>
        <v>3501955760</v>
      </c>
      <c r="S51" s="731">
        <f t="shared" si="0"/>
        <v>-649143584</v>
      </c>
      <c r="T51" s="772"/>
    </row>
  </sheetData>
  <pageMargins left="0.39" right="0.26" top="0.68" bottom="0.64" header="0.23" footer="0.26"/>
  <pageSetup scale="62" orientation="portrait" r:id="rId1"/>
  <headerFooter>
    <oddHeader>&amp;C&amp;"Algerian,Bold"&amp;28WASAARADdA XIDH. GOLAYAASHA CILM. IYO TECH</oddHeader>
    <oddFooter>&amp;R&amp;"Times New Roman,Bold"&amp;14 49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topLeftCell="B37" zoomScale="66" zoomScaleNormal="66" zoomScaleSheetLayoutView="66" zoomScalePageLayoutView="85" workbookViewId="0">
      <selection activeCell="P51" sqref="P51"/>
    </sheetView>
  </sheetViews>
  <sheetFormatPr defaultRowHeight="27" customHeight="1"/>
  <cols>
    <col min="1" max="1" width="15.5" style="644" bestFit="1" customWidth="1"/>
    <col min="2" max="2" width="82.1640625" style="642" customWidth="1"/>
    <col min="3" max="3" width="1.83203125" style="642" hidden="1" customWidth="1"/>
    <col min="4" max="9" width="9.33203125" style="642" hidden="1" customWidth="1"/>
    <col min="10" max="10" width="18.5" style="642" hidden="1" customWidth="1"/>
    <col min="11" max="11" width="28.1640625" style="642" hidden="1" customWidth="1"/>
    <col min="12" max="12" width="27.6640625" style="645" hidden="1" customWidth="1"/>
    <col min="13" max="14" width="28.1640625" style="645" hidden="1" customWidth="1"/>
    <col min="15" max="17" width="28.1640625" style="645" customWidth="1"/>
    <col min="18" max="18" width="9.33203125" style="642" hidden="1" customWidth="1"/>
    <col min="19" max="16384" width="9.33203125" style="642"/>
  </cols>
  <sheetData>
    <row r="1" spans="1:18" ht="27" customHeight="1">
      <c r="A1" s="544" t="s">
        <v>39</v>
      </c>
      <c r="B1" s="545" t="s">
        <v>1021</v>
      </c>
      <c r="C1" s="478"/>
      <c r="D1" s="478"/>
      <c r="E1" s="478"/>
      <c r="F1" s="478"/>
      <c r="G1" s="478"/>
      <c r="H1" s="478"/>
      <c r="I1" s="478"/>
      <c r="J1" s="478"/>
      <c r="K1" s="478"/>
      <c r="L1" s="280"/>
      <c r="M1" s="280"/>
      <c r="N1" s="280"/>
      <c r="O1" s="280"/>
      <c r="P1" s="280"/>
      <c r="Q1" s="280"/>
      <c r="R1" s="641"/>
    </row>
    <row r="2" spans="1:18" ht="27" customHeight="1">
      <c r="A2" s="476" t="s">
        <v>25</v>
      </c>
      <c r="B2" s="303" t="s">
        <v>26</v>
      </c>
      <c r="C2" s="482" t="s">
        <v>43</v>
      </c>
      <c r="D2" s="482" t="s">
        <v>46</v>
      </c>
      <c r="E2" s="482" t="s">
        <v>55</v>
      </c>
      <c r="F2" s="482" t="s">
        <v>62</v>
      </c>
      <c r="G2" s="482" t="s">
        <v>101</v>
      </c>
      <c r="H2" s="482" t="s">
        <v>107</v>
      </c>
      <c r="I2" s="482" t="s">
        <v>118</v>
      </c>
      <c r="J2" s="482" t="s">
        <v>151</v>
      </c>
      <c r="K2" s="482" t="s">
        <v>257</v>
      </c>
      <c r="L2" s="286" t="s">
        <v>814</v>
      </c>
      <c r="M2" s="286" t="s">
        <v>874</v>
      </c>
      <c r="N2" s="286" t="s">
        <v>973</v>
      </c>
      <c r="O2" s="286" t="s">
        <v>1160</v>
      </c>
      <c r="P2" s="286" t="s">
        <v>1320</v>
      </c>
      <c r="Q2" s="286" t="s">
        <v>56</v>
      </c>
      <c r="R2" s="643"/>
    </row>
    <row r="3" spans="1:18" ht="27" customHeight="1">
      <c r="A3" s="476">
        <v>210</v>
      </c>
      <c r="B3" s="280" t="s">
        <v>137</v>
      </c>
      <c r="C3" s="478"/>
      <c r="D3" s="478"/>
      <c r="E3" s="478"/>
      <c r="F3" s="478"/>
      <c r="G3" s="478"/>
      <c r="H3" s="478"/>
      <c r="I3" s="478"/>
      <c r="J3" s="478"/>
      <c r="K3" s="478"/>
      <c r="L3" s="246"/>
      <c r="M3" s="246"/>
      <c r="N3" s="246"/>
      <c r="O3" s="246"/>
      <c r="P3" s="246"/>
      <c r="Q3" s="246"/>
      <c r="R3" s="641"/>
    </row>
    <row r="4" spans="1:18" ht="27" customHeight="1">
      <c r="A4" s="476">
        <v>2110</v>
      </c>
      <c r="B4" s="280" t="s">
        <v>213</v>
      </c>
      <c r="C4" s="274">
        <v>0</v>
      </c>
      <c r="D4" s="274">
        <v>45168000</v>
      </c>
      <c r="E4" s="274">
        <v>82272000</v>
      </c>
      <c r="F4" s="274">
        <v>82272000</v>
      </c>
      <c r="G4" s="274">
        <v>167590800</v>
      </c>
      <c r="H4" s="274">
        <f>135236400+4149600+27000000+3000000</f>
        <v>169386000</v>
      </c>
      <c r="I4" s="274">
        <f>169386000+6000000+4149600</f>
        <v>179535600</v>
      </c>
      <c r="J4" s="274"/>
      <c r="K4" s="274"/>
      <c r="L4" s="246"/>
      <c r="M4" s="246"/>
      <c r="N4" s="246"/>
      <c r="O4" s="246"/>
      <c r="P4" s="246"/>
      <c r="Q4" s="246"/>
      <c r="R4" s="641"/>
    </row>
    <row r="5" spans="1:18" ht="27" customHeight="1">
      <c r="A5" s="392">
        <v>21101</v>
      </c>
      <c r="B5" s="246" t="s">
        <v>28</v>
      </c>
      <c r="C5" s="274">
        <v>0</v>
      </c>
      <c r="D5" s="274">
        <v>24500000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f>179535600+5085600-4149600+108872400</f>
        <v>289344000</v>
      </c>
      <c r="K5" s="274">
        <f>shaqaalaha2011!H44+36000000+704589600</f>
        <v>1115270400</v>
      </c>
      <c r="L5" s="246">
        <v>1142731200</v>
      </c>
      <c r="M5" s="246">
        <v>1405085760</v>
      </c>
      <c r="N5" s="246">
        <v>1592472960</v>
      </c>
      <c r="O5" s="246">
        <v>1832613120</v>
      </c>
      <c r="P5" s="246">
        <v>2405392704</v>
      </c>
      <c r="Q5" s="246">
        <f>P5-O5</f>
        <v>572779584</v>
      </c>
      <c r="R5" s="641"/>
    </row>
    <row r="6" spans="1:18" ht="27" customHeight="1">
      <c r="A6" s="392">
        <v>21102</v>
      </c>
      <c r="B6" s="246" t="s">
        <v>554</v>
      </c>
      <c r="C6" s="246">
        <v>0</v>
      </c>
      <c r="D6" s="246">
        <v>10800000</v>
      </c>
      <c r="E6" s="246">
        <v>14400000</v>
      </c>
      <c r="F6" s="246">
        <v>14400000</v>
      </c>
      <c r="G6" s="246">
        <v>14400000</v>
      </c>
      <c r="H6" s="246">
        <f>14400000+16200000+720000</f>
        <v>31320000</v>
      </c>
      <c r="I6" s="246">
        <f>31320000+720000+3960000</f>
        <v>36000000</v>
      </c>
      <c r="J6" s="274">
        <v>0</v>
      </c>
      <c r="K6" s="274">
        <v>0</v>
      </c>
      <c r="L6" s="246">
        <v>97200000</v>
      </c>
      <c r="M6" s="246">
        <v>194400000</v>
      </c>
      <c r="N6" s="246">
        <v>194400000</v>
      </c>
      <c r="O6" s="246">
        <v>194400000</v>
      </c>
      <c r="P6" s="246">
        <v>194400000</v>
      </c>
      <c r="Q6" s="246">
        <f t="shared" ref="Q6:Q51" si="0">P6-O6</f>
        <v>0</v>
      </c>
      <c r="R6" s="641"/>
    </row>
    <row r="7" spans="1:18" ht="27" customHeight="1">
      <c r="A7" s="392">
        <v>21103</v>
      </c>
      <c r="B7" s="246" t="s">
        <v>30</v>
      </c>
      <c r="C7" s="280">
        <v>0</v>
      </c>
      <c r="D7" s="280">
        <f>SUM(D4:D6)</f>
        <v>80468000</v>
      </c>
      <c r="E7" s="280">
        <f>SUM(E4:E6)</f>
        <v>96672000</v>
      </c>
      <c r="F7" s="280">
        <f>SUM(F4:F6)</f>
        <v>96672000</v>
      </c>
      <c r="G7" s="280">
        <f>SUM(G4:G6)</f>
        <v>181990800</v>
      </c>
      <c r="H7" s="280">
        <f>SUM(H4:H6)</f>
        <v>200706000</v>
      </c>
      <c r="I7" s="246">
        <v>0</v>
      </c>
      <c r="J7" s="246">
        <f>36000000+2400000+13200000</f>
        <v>51600000</v>
      </c>
      <c r="K7" s="246">
        <f>36000000+2400000+13200000</f>
        <v>51600000</v>
      </c>
      <c r="L7" s="246">
        <v>140400000</v>
      </c>
      <c r="M7" s="246">
        <v>306000000</v>
      </c>
      <c r="N7" s="246">
        <v>306000000</v>
      </c>
      <c r="O7" s="246">
        <v>306000000</v>
      </c>
      <c r="P7" s="840">
        <v>378000000</v>
      </c>
      <c r="Q7" s="246">
        <f t="shared" si="0"/>
        <v>72000000</v>
      </c>
      <c r="R7" s="641"/>
    </row>
    <row r="8" spans="1:18" ht="27" customHeight="1">
      <c r="A8" s="392">
        <v>21105</v>
      </c>
      <c r="B8" s="246" t="s">
        <v>459</v>
      </c>
      <c r="C8" s="280"/>
      <c r="D8" s="280"/>
      <c r="E8" s="280"/>
      <c r="F8" s="280"/>
      <c r="G8" s="280"/>
      <c r="H8" s="280"/>
      <c r="I8" s="246"/>
      <c r="J8" s="246"/>
      <c r="K8" s="246"/>
      <c r="L8" s="246"/>
      <c r="M8" s="246"/>
      <c r="N8" s="246">
        <v>0</v>
      </c>
      <c r="O8" s="246">
        <v>36000000</v>
      </c>
      <c r="P8" s="840">
        <v>96000000</v>
      </c>
      <c r="Q8" s="246">
        <f t="shared" si="0"/>
        <v>60000000</v>
      </c>
      <c r="R8" s="641"/>
    </row>
    <row r="9" spans="1:18" ht="27" customHeight="1">
      <c r="A9" s="392"/>
      <c r="B9" s="280" t="s">
        <v>92</v>
      </c>
      <c r="C9" s="280">
        <v>0</v>
      </c>
      <c r="D9" s="280" t="e">
        <f>SUM(#REF!)</f>
        <v>#REF!</v>
      </c>
      <c r="E9" s="280" t="e">
        <f>SUM(#REF!)</f>
        <v>#REF!</v>
      </c>
      <c r="F9" s="280" t="e">
        <f>SUM(#REF!)</f>
        <v>#REF!</v>
      </c>
      <c r="G9" s="280" t="e">
        <f>SUM(#REF!)</f>
        <v>#REF!</v>
      </c>
      <c r="H9" s="280" t="e">
        <f>SUM(#REF!)</f>
        <v>#REF!</v>
      </c>
      <c r="I9" s="246">
        <v>0</v>
      </c>
      <c r="J9" s="280">
        <f t="shared" ref="J9:M9" si="1">SUM(J5:J7)</f>
        <v>340944000</v>
      </c>
      <c r="K9" s="280">
        <f t="shared" si="1"/>
        <v>1166870400</v>
      </c>
      <c r="L9" s="280">
        <f t="shared" si="1"/>
        <v>1380331200</v>
      </c>
      <c r="M9" s="280">
        <f t="shared" si="1"/>
        <v>1905485760</v>
      </c>
      <c r="N9" s="280">
        <f>SUM(N5:N8)</f>
        <v>2092872960</v>
      </c>
      <c r="O9" s="280">
        <f>SUM(O5:O8)</f>
        <v>2369013120</v>
      </c>
      <c r="P9" s="851">
        <f>SUM(P5:P8)</f>
        <v>3073792704</v>
      </c>
      <c r="Q9" s="280">
        <f t="shared" si="0"/>
        <v>704779584</v>
      </c>
      <c r="R9" s="641"/>
    </row>
    <row r="10" spans="1:18" ht="27" customHeight="1">
      <c r="A10" s="476">
        <v>220</v>
      </c>
      <c r="B10" s="280" t="s">
        <v>225</v>
      </c>
      <c r="C10" s="246" t="s">
        <v>4</v>
      </c>
      <c r="D10" s="246"/>
      <c r="E10" s="246"/>
      <c r="F10" s="246"/>
      <c r="G10" s="246"/>
      <c r="H10" s="246"/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840">
        <v>0</v>
      </c>
      <c r="Q10" s="246">
        <f t="shared" si="0"/>
        <v>0</v>
      </c>
      <c r="R10" s="641"/>
    </row>
    <row r="11" spans="1:18" ht="27" customHeight="1">
      <c r="A11" s="476">
        <v>2210</v>
      </c>
      <c r="B11" s="280" t="s">
        <v>226</v>
      </c>
      <c r="C11" s="246">
        <v>0</v>
      </c>
      <c r="D11" s="246">
        <v>22600000</v>
      </c>
      <c r="E11" s="246">
        <v>0</v>
      </c>
      <c r="F11" s="246">
        <v>0</v>
      </c>
      <c r="G11" s="246">
        <v>0</v>
      </c>
      <c r="H11" s="246">
        <v>0</v>
      </c>
      <c r="I11" s="246">
        <v>7448000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840">
        <v>0</v>
      </c>
      <c r="Q11" s="246">
        <f t="shared" si="0"/>
        <v>0</v>
      </c>
      <c r="R11" s="641"/>
    </row>
    <row r="12" spans="1:18" ht="27" customHeight="1">
      <c r="A12" s="392">
        <v>22101</v>
      </c>
      <c r="B12" s="246" t="s">
        <v>33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7448000</v>
      </c>
      <c r="J12" s="246">
        <f>11172000+33516000</f>
        <v>44688000</v>
      </c>
      <c r="K12" s="246">
        <v>44688000</v>
      </c>
      <c r="L12" s="246">
        <v>44688000</v>
      </c>
      <c r="M12" s="246">
        <v>44688000</v>
      </c>
      <c r="N12" s="246">
        <v>44688000</v>
      </c>
      <c r="O12" s="246">
        <v>94688000</v>
      </c>
      <c r="P12" s="840">
        <v>94688000</v>
      </c>
      <c r="Q12" s="246">
        <f t="shared" si="0"/>
        <v>0</v>
      </c>
      <c r="R12" s="641"/>
    </row>
    <row r="13" spans="1:18" ht="27" customHeight="1">
      <c r="A13" s="392">
        <v>22104</v>
      </c>
      <c r="B13" s="246" t="s">
        <v>157</v>
      </c>
      <c r="C13" s="246"/>
      <c r="D13" s="246"/>
      <c r="E13" s="246"/>
      <c r="F13" s="246"/>
      <c r="G13" s="246"/>
      <c r="H13" s="246"/>
      <c r="I13" s="246">
        <v>37240000</v>
      </c>
      <c r="J13" s="246">
        <f>43561192+20000000</f>
        <v>63561192</v>
      </c>
      <c r="K13" s="246">
        <f>J13*70%</f>
        <v>44492834.399999999</v>
      </c>
      <c r="L13" s="246">
        <f>K13</f>
        <v>44492834.399999999</v>
      </c>
      <c r="M13" s="246">
        <f>L13</f>
        <v>44492834.399999999</v>
      </c>
      <c r="N13" s="246">
        <f>M13</f>
        <v>44492834.399999999</v>
      </c>
      <c r="O13" s="246">
        <f>N13</f>
        <v>44492834.399999999</v>
      </c>
      <c r="P13" s="840">
        <v>94000000</v>
      </c>
      <c r="Q13" s="246">
        <f t="shared" si="0"/>
        <v>49507165.600000001</v>
      </c>
      <c r="R13" s="641"/>
    </row>
    <row r="14" spans="1:18" ht="27" customHeight="1">
      <c r="A14" s="392">
        <v>22105</v>
      </c>
      <c r="B14" s="246" t="s">
        <v>1078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>
        <v>0</v>
      </c>
      <c r="N14" s="246">
        <v>8400000</v>
      </c>
      <c r="O14" s="246">
        <v>8400000</v>
      </c>
      <c r="P14" s="840">
        <v>44000000</v>
      </c>
      <c r="Q14" s="246">
        <f t="shared" si="0"/>
        <v>35600000</v>
      </c>
      <c r="R14" s="641"/>
    </row>
    <row r="15" spans="1:18" ht="27" customHeight="1">
      <c r="A15" s="392">
        <v>22107</v>
      </c>
      <c r="B15" s="246" t="s">
        <v>48</v>
      </c>
      <c r="C15" s="246">
        <v>0</v>
      </c>
      <c r="D15" s="246">
        <v>4000000</v>
      </c>
      <c r="E15" s="246">
        <v>8000000</v>
      </c>
      <c r="F15" s="246">
        <v>17000000</v>
      </c>
      <c r="G15" s="246">
        <v>12661600</v>
      </c>
      <c r="H15" s="246">
        <v>25000000</v>
      </c>
      <c r="I15" s="280">
        <f>SUM(I9:I13)</f>
        <v>52136000</v>
      </c>
      <c r="J15" s="246">
        <f>7448000+11000000</f>
        <v>18448000</v>
      </c>
      <c r="K15" s="246">
        <f>J15*70%</f>
        <v>12913600</v>
      </c>
      <c r="L15" s="246">
        <v>19039520</v>
      </c>
      <c r="M15" s="246">
        <v>19039520</v>
      </c>
      <c r="N15" s="246">
        <v>19039520</v>
      </c>
      <c r="O15" s="246">
        <v>69000000</v>
      </c>
      <c r="P15" s="840">
        <v>69000000</v>
      </c>
      <c r="Q15" s="246">
        <f t="shared" si="0"/>
        <v>0</v>
      </c>
      <c r="R15" s="641"/>
    </row>
    <row r="16" spans="1:18" ht="27" customHeight="1">
      <c r="A16" s="392">
        <v>22108</v>
      </c>
      <c r="B16" s="246" t="s">
        <v>1062</v>
      </c>
      <c r="C16" s="246"/>
      <c r="D16" s="246"/>
      <c r="E16" s="246"/>
      <c r="F16" s="246"/>
      <c r="G16" s="246"/>
      <c r="H16" s="246"/>
      <c r="I16" s="280"/>
      <c r="J16" s="246"/>
      <c r="K16" s="246"/>
      <c r="L16" s="246"/>
      <c r="M16" s="246">
        <v>0</v>
      </c>
      <c r="N16" s="246">
        <v>0</v>
      </c>
      <c r="O16" s="246">
        <v>0</v>
      </c>
      <c r="P16" s="840">
        <v>0</v>
      </c>
      <c r="Q16" s="246">
        <f t="shared" si="0"/>
        <v>0</v>
      </c>
      <c r="R16" s="641"/>
    </row>
    <row r="17" spans="1:18" ht="27" customHeight="1">
      <c r="A17" s="392">
        <v>22109</v>
      </c>
      <c r="B17" s="246" t="s">
        <v>136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/>
      <c r="J17" s="246">
        <f t="shared" ref="J17:P17" si="2">7448000+5586000</f>
        <v>13034000</v>
      </c>
      <c r="K17" s="246">
        <f t="shared" si="2"/>
        <v>13034000</v>
      </c>
      <c r="L17" s="246">
        <f t="shared" si="2"/>
        <v>13034000</v>
      </c>
      <c r="M17" s="246">
        <f t="shared" si="2"/>
        <v>13034000</v>
      </c>
      <c r="N17" s="246">
        <f t="shared" si="2"/>
        <v>13034000</v>
      </c>
      <c r="O17" s="246">
        <f t="shared" si="2"/>
        <v>13034000</v>
      </c>
      <c r="P17" s="840">
        <f t="shared" si="2"/>
        <v>13034000</v>
      </c>
      <c r="Q17" s="246">
        <f t="shared" si="0"/>
        <v>0</v>
      </c>
      <c r="R17" s="641"/>
    </row>
    <row r="18" spans="1:18" ht="27" customHeight="1">
      <c r="A18" s="392">
        <v>22112</v>
      </c>
      <c r="B18" s="246" t="s">
        <v>35</v>
      </c>
      <c r="C18" s="246" t="s">
        <v>4</v>
      </c>
      <c r="D18" s="246">
        <v>0</v>
      </c>
      <c r="E18" s="246">
        <v>0</v>
      </c>
      <c r="F18" s="246">
        <v>3000000</v>
      </c>
      <c r="G18" s="246">
        <v>2234400</v>
      </c>
      <c r="H18" s="246">
        <v>2234400</v>
      </c>
      <c r="I18" s="246">
        <v>0</v>
      </c>
      <c r="J18" s="246">
        <f>27000000+5000000</f>
        <v>32000000</v>
      </c>
      <c r="K18" s="246">
        <f>J18*70%</f>
        <v>22400000</v>
      </c>
      <c r="L18" s="246">
        <f>K18</f>
        <v>22400000</v>
      </c>
      <c r="M18" s="246">
        <v>32400000</v>
      </c>
      <c r="N18" s="246">
        <v>63400000</v>
      </c>
      <c r="O18" s="246">
        <v>83400000</v>
      </c>
      <c r="P18" s="840">
        <v>100000000</v>
      </c>
      <c r="Q18" s="246">
        <f t="shared" si="0"/>
        <v>16600000</v>
      </c>
      <c r="R18" s="641"/>
    </row>
    <row r="19" spans="1:18" ht="27" customHeight="1">
      <c r="A19" s="392">
        <v>22129</v>
      </c>
      <c r="B19" s="246" t="s">
        <v>143</v>
      </c>
      <c r="C19" s="246"/>
      <c r="D19" s="246"/>
      <c r="E19" s="246"/>
      <c r="F19" s="246"/>
      <c r="G19" s="246">
        <v>0</v>
      </c>
      <c r="H19" s="246">
        <v>100000000</v>
      </c>
      <c r="I19" s="246">
        <v>90000000</v>
      </c>
      <c r="J19" s="246">
        <v>10000000</v>
      </c>
      <c r="K19" s="246">
        <v>10000000</v>
      </c>
      <c r="L19" s="246">
        <v>0</v>
      </c>
      <c r="M19" s="246">
        <v>0</v>
      </c>
      <c r="N19" s="246">
        <v>0</v>
      </c>
      <c r="O19" s="246">
        <v>30000000</v>
      </c>
      <c r="P19" s="840">
        <v>30000000</v>
      </c>
      <c r="Q19" s="246">
        <f t="shared" si="0"/>
        <v>0</v>
      </c>
      <c r="R19" s="641"/>
    </row>
    <row r="20" spans="1:18" ht="27" customHeight="1">
      <c r="A20" s="392">
        <v>22137</v>
      </c>
      <c r="B20" s="246" t="s">
        <v>546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>
        <v>380000000</v>
      </c>
      <c r="P20" s="840">
        <v>530000000</v>
      </c>
      <c r="Q20" s="246">
        <f t="shared" si="0"/>
        <v>150000000</v>
      </c>
      <c r="R20" s="641"/>
    </row>
    <row r="21" spans="1:18" ht="27" customHeight="1">
      <c r="A21" s="392">
        <v>22151</v>
      </c>
      <c r="B21" s="246" t="s">
        <v>895</v>
      </c>
      <c r="C21" s="280"/>
      <c r="D21" s="280"/>
      <c r="E21" s="280"/>
      <c r="F21" s="280"/>
      <c r="G21" s="280"/>
      <c r="H21" s="280"/>
      <c r="I21" s="246"/>
      <c r="J21" s="246"/>
      <c r="K21" s="246"/>
      <c r="L21" s="246">
        <v>0</v>
      </c>
      <c r="M21" s="246">
        <v>150000000</v>
      </c>
      <c r="N21" s="246">
        <v>150000000</v>
      </c>
      <c r="O21" s="246">
        <v>300000000</v>
      </c>
      <c r="P21" s="840">
        <v>400000000</v>
      </c>
      <c r="Q21" s="246">
        <f t="shared" si="0"/>
        <v>100000000</v>
      </c>
      <c r="R21" s="641"/>
    </row>
    <row r="22" spans="1:18" ht="27" customHeight="1">
      <c r="A22" s="392">
        <v>22192</v>
      </c>
      <c r="B22" s="246" t="s">
        <v>1184</v>
      </c>
      <c r="C22" s="280"/>
      <c r="D22" s="280"/>
      <c r="E22" s="280"/>
      <c r="F22" s="280"/>
      <c r="G22" s="280"/>
      <c r="H22" s="280"/>
      <c r="I22" s="246"/>
      <c r="J22" s="246"/>
      <c r="K22" s="246"/>
      <c r="L22" s="246"/>
      <c r="M22" s="246"/>
      <c r="N22" s="246"/>
      <c r="O22" s="246">
        <v>150000000</v>
      </c>
      <c r="P22" s="840">
        <v>250000000</v>
      </c>
      <c r="Q22" s="246">
        <f t="shared" si="0"/>
        <v>100000000</v>
      </c>
      <c r="R22" s="641"/>
    </row>
    <row r="23" spans="1:18" ht="27" customHeight="1">
      <c r="A23" s="392"/>
      <c r="B23" s="280" t="s">
        <v>92</v>
      </c>
      <c r="C23" s="246" t="s">
        <v>4</v>
      </c>
      <c r="D23" s="246"/>
      <c r="E23" s="246"/>
      <c r="F23" s="246"/>
      <c r="G23" s="246"/>
      <c r="H23" s="246"/>
      <c r="I23" s="246">
        <v>3724000</v>
      </c>
      <c r="J23" s="280">
        <f>SUM(J10:J19)</f>
        <v>181731192</v>
      </c>
      <c r="K23" s="280">
        <f>SUM(K10:K19)</f>
        <v>147528434.40000001</v>
      </c>
      <c r="L23" s="280">
        <f>SUM(L10:L21)</f>
        <v>143654354.40000001</v>
      </c>
      <c r="M23" s="280">
        <f>SUM(M10:M21)</f>
        <v>303654354.39999998</v>
      </c>
      <c r="N23" s="280">
        <f>SUM(N10:N21)</f>
        <v>343054354.39999998</v>
      </c>
      <c r="O23" s="280">
        <f>SUM(O10:O22)</f>
        <v>1173014834.4000001</v>
      </c>
      <c r="P23" s="851">
        <f>SUM(P10:P22)</f>
        <v>1624722000</v>
      </c>
      <c r="Q23" s="280">
        <f t="shared" si="0"/>
        <v>451707165.5999999</v>
      </c>
      <c r="R23" s="641"/>
    </row>
    <row r="24" spans="1:18" ht="27" customHeight="1">
      <c r="A24" s="476">
        <v>2220</v>
      </c>
      <c r="B24" s="280" t="s">
        <v>240</v>
      </c>
      <c r="C24" s="246">
        <v>0</v>
      </c>
      <c r="D24" s="246">
        <v>6000000</v>
      </c>
      <c r="E24" s="246">
        <v>7200000</v>
      </c>
      <c r="F24" s="246">
        <v>10000000</v>
      </c>
      <c r="G24" s="246">
        <v>11172000</v>
      </c>
      <c r="H24" s="246">
        <v>11172000</v>
      </c>
      <c r="I24" s="280">
        <f>SUM(I18:I23)</f>
        <v>93724000</v>
      </c>
      <c r="J24" s="280"/>
      <c r="K24" s="280"/>
      <c r="L24" s="280"/>
      <c r="M24" s="280"/>
      <c r="N24" s="280"/>
      <c r="O24" s="280"/>
      <c r="P24" s="851"/>
      <c r="Q24" s="246">
        <f t="shared" si="0"/>
        <v>0</v>
      </c>
      <c r="R24" s="641"/>
    </row>
    <row r="25" spans="1:18" ht="27" customHeight="1">
      <c r="A25" s="392">
        <v>22202</v>
      </c>
      <c r="B25" s="246" t="s">
        <v>133</v>
      </c>
      <c r="C25" s="246">
        <v>0</v>
      </c>
      <c r="D25" s="246">
        <v>17000000</v>
      </c>
      <c r="E25" s="246">
        <v>9734400</v>
      </c>
      <c r="F25" s="246">
        <v>20000000</v>
      </c>
      <c r="G25" s="246">
        <v>18620000</v>
      </c>
      <c r="H25" s="246">
        <v>30000000</v>
      </c>
      <c r="I25" s="246"/>
      <c r="J25" s="246">
        <f>211531200+148960000</f>
        <v>360491200</v>
      </c>
      <c r="K25" s="246">
        <f>J25*70%</f>
        <v>252343839.99999997</v>
      </c>
      <c r="L25" s="246">
        <v>282343840</v>
      </c>
      <c r="M25" s="246">
        <v>302343840</v>
      </c>
      <c r="N25" s="246">
        <v>342343840</v>
      </c>
      <c r="O25" s="246">
        <v>342343840</v>
      </c>
      <c r="P25" s="840">
        <v>393000000</v>
      </c>
      <c r="Q25" s="246">
        <f t="shared" si="0"/>
        <v>50656160</v>
      </c>
      <c r="R25" s="641"/>
    </row>
    <row r="26" spans="1:18" ht="27" customHeight="1">
      <c r="A26" s="392">
        <v>22203</v>
      </c>
      <c r="B26" s="246" t="s">
        <v>127</v>
      </c>
      <c r="C26" s="246">
        <v>0</v>
      </c>
      <c r="D26" s="246">
        <v>0</v>
      </c>
      <c r="E26" s="246">
        <v>14592000</v>
      </c>
      <c r="F26" s="246">
        <v>0</v>
      </c>
      <c r="G26" s="246">
        <v>0</v>
      </c>
      <c r="H26" s="246">
        <v>10000000</v>
      </c>
      <c r="I26" s="246">
        <v>0</v>
      </c>
      <c r="J26" s="246">
        <f>11172000+12000000</f>
        <v>23172000</v>
      </c>
      <c r="K26" s="246">
        <f>J26*70%</f>
        <v>16220399.999999998</v>
      </c>
      <c r="L26" s="246">
        <v>32440800</v>
      </c>
      <c r="M26" s="246">
        <f>L26</f>
        <v>32440800</v>
      </c>
      <c r="N26" s="246">
        <f>M26</f>
        <v>32440800</v>
      </c>
      <c r="O26" s="246">
        <v>50440800</v>
      </c>
      <c r="P26" s="840">
        <v>50440800</v>
      </c>
      <c r="Q26" s="246">
        <f t="shared" si="0"/>
        <v>0</v>
      </c>
      <c r="R26" s="641"/>
    </row>
    <row r="27" spans="1:18" ht="27" customHeight="1">
      <c r="A27" s="392">
        <v>22204</v>
      </c>
      <c r="B27" s="246" t="s">
        <v>128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f>3724000+3724000</f>
        <v>7448000</v>
      </c>
      <c r="K27" s="246">
        <f t="shared" ref="K27:P27" si="3">7448000*70%</f>
        <v>5213600</v>
      </c>
      <c r="L27" s="246">
        <f t="shared" si="3"/>
        <v>5213600</v>
      </c>
      <c r="M27" s="246">
        <f t="shared" si="3"/>
        <v>5213600</v>
      </c>
      <c r="N27" s="246">
        <f t="shared" si="3"/>
        <v>5213600</v>
      </c>
      <c r="O27" s="246">
        <f t="shared" si="3"/>
        <v>5213600</v>
      </c>
      <c r="P27" s="840">
        <f t="shared" si="3"/>
        <v>5213600</v>
      </c>
      <c r="Q27" s="246">
        <f t="shared" si="0"/>
        <v>0</v>
      </c>
      <c r="R27" s="641"/>
    </row>
    <row r="28" spans="1:18" ht="27" customHeight="1">
      <c r="A28" s="392">
        <v>22208</v>
      </c>
      <c r="B28" s="246" t="s">
        <v>560</v>
      </c>
      <c r="C28" s="246"/>
      <c r="D28" s="246"/>
      <c r="E28" s="246"/>
      <c r="F28" s="246"/>
      <c r="G28" s="246"/>
      <c r="H28" s="246"/>
      <c r="I28" s="246"/>
      <c r="J28" s="246"/>
      <c r="K28" s="246">
        <v>0</v>
      </c>
      <c r="L28" s="246">
        <v>280800000</v>
      </c>
      <c r="M28" s="246">
        <v>280800000</v>
      </c>
      <c r="N28" s="246">
        <v>380800000</v>
      </c>
      <c r="O28" s="246">
        <v>510800000</v>
      </c>
      <c r="P28" s="840">
        <v>810800000</v>
      </c>
      <c r="Q28" s="246">
        <f t="shared" si="0"/>
        <v>300000000</v>
      </c>
      <c r="R28" s="641"/>
    </row>
    <row r="29" spans="1:18" ht="27" customHeight="1">
      <c r="A29" s="392"/>
      <c r="B29" s="280" t="s">
        <v>92</v>
      </c>
      <c r="C29" s="246">
        <v>0</v>
      </c>
      <c r="D29" s="246">
        <v>0</v>
      </c>
      <c r="E29" s="246"/>
      <c r="F29" s="246">
        <v>0</v>
      </c>
      <c r="G29" s="246">
        <v>0</v>
      </c>
      <c r="H29" s="246">
        <v>0</v>
      </c>
      <c r="I29" s="246">
        <v>4468800</v>
      </c>
      <c r="J29" s="280">
        <f t="shared" ref="J29:N29" si="4">SUM(J25:J28)</f>
        <v>391111200</v>
      </c>
      <c r="K29" s="280">
        <f t="shared" si="4"/>
        <v>273777839.99999994</v>
      </c>
      <c r="L29" s="280">
        <f t="shared" si="4"/>
        <v>600798240</v>
      </c>
      <c r="M29" s="280">
        <f t="shared" si="4"/>
        <v>620798240</v>
      </c>
      <c r="N29" s="280">
        <f t="shared" si="4"/>
        <v>760798240</v>
      </c>
      <c r="O29" s="280">
        <f>SUM(O25:O28)</f>
        <v>908798240</v>
      </c>
      <c r="P29" s="851">
        <f>SUM(P25:P28)</f>
        <v>1259454400</v>
      </c>
      <c r="Q29" s="280">
        <f t="shared" si="0"/>
        <v>350656160</v>
      </c>
      <c r="R29" s="641"/>
    </row>
    <row r="30" spans="1:18" ht="27" customHeight="1">
      <c r="A30" s="476">
        <v>2230</v>
      </c>
      <c r="B30" s="280" t="s">
        <v>130</v>
      </c>
      <c r="C30" s="246">
        <v>0</v>
      </c>
      <c r="D30" s="246">
        <v>0</v>
      </c>
      <c r="E30" s="246"/>
      <c r="F30" s="246">
        <v>0</v>
      </c>
      <c r="G30" s="246">
        <v>0</v>
      </c>
      <c r="H30" s="246">
        <v>0</v>
      </c>
      <c r="I30" s="280">
        <f>SUM(I26:I29)</f>
        <v>4468800</v>
      </c>
      <c r="J30" s="280"/>
      <c r="K30" s="280"/>
      <c r="L30" s="280"/>
      <c r="M30" s="280"/>
      <c r="N30" s="280"/>
      <c r="O30" s="280"/>
      <c r="P30" s="851"/>
      <c r="Q30" s="246">
        <f t="shared" si="0"/>
        <v>0</v>
      </c>
      <c r="R30" s="641"/>
    </row>
    <row r="31" spans="1:18" ht="27" customHeight="1">
      <c r="A31" s="392">
        <v>22301</v>
      </c>
      <c r="B31" s="246" t="s">
        <v>49</v>
      </c>
      <c r="C31" s="246">
        <v>0</v>
      </c>
      <c r="D31" s="246">
        <v>0</v>
      </c>
      <c r="E31" s="246"/>
      <c r="F31" s="246">
        <v>0</v>
      </c>
      <c r="G31" s="246">
        <v>0</v>
      </c>
      <c r="H31" s="246">
        <v>0</v>
      </c>
      <c r="I31" s="246">
        <v>0</v>
      </c>
      <c r="J31" s="246">
        <f>33725600+18896000</f>
        <v>52621600</v>
      </c>
      <c r="K31" s="246">
        <f>J31*70%</f>
        <v>36835120</v>
      </c>
      <c r="L31" s="246">
        <f>K31</f>
        <v>36835120</v>
      </c>
      <c r="M31" s="246">
        <v>46835120</v>
      </c>
      <c r="N31" s="246">
        <v>46835120</v>
      </c>
      <c r="O31" s="246">
        <v>126835120</v>
      </c>
      <c r="P31" s="840">
        <v>177000000</v>
      </c>
      <c r="Q31" s="246">
        <f t="shared" si="0"/>
        <v>50164880</v>
      </c>
      <c r="R31" s="641"/>
    </row>
    <row r="32" spans="1:18" ht="27" customHeight="1">
      <c r="A32" s="392">
        <v>22302</v>
      </c>
      <c r="B32" s="246" t="s">
        <v>249</v>
      </c>
      <c r="C32" s="246">
        <v>0</v>
      </c>
      <c r="D32" s="246">
        <v>5000000</v>
      </c>
      <c r="E32" s="246">
        <v>6400000</v>
      </c>
      <c r="F32" s="246">
        <v>10000000</v>
      </c>
      <c r="G32" s="246">
        <v>7448000</v>
      </c>
      <c r="H32" s="246">
        <v>7448000</v>
      </c>
      <c r="I32" s="246">
        <v>12661600</v>
      </c>
      <c r="J32" s="246">
        <f>2234400+8949691</f>
        <v>11184091</v>
      </c>
      <c r="K32" s="246">
        <f t="shared" ref="K32:P32" si="5">11184091*70%</f>
        <v>7828863.6999999993</v>
      </c>
      <c r="L32" s="246">
        <f t="shared" si="5"/>
        <v>7828863.6999999993</v>
      </c>
      <c r="M32" s="246">
        <f t="shared" si="5"/>
        <v>7828863.6999999993</v>
      </c>
      <c r="N32" s="246">
        <f t="shared" si="5"/>
        <v>7828863.6999999993</v>
      </c>
      <c r="O32" s="246">
        <f t="shared" si="5"/>
        <v>7828863.6999999993</v>
      </c>
      <c r="P32" s="840">
        <f t="shared" si="5"/>
        <v>7828863.6999999993</v>
      </c>
      <c r="Q32" s="246">
        <f t="shared" si="0"/>
        <v>0</v>
      </c>
      <c r="R32" s="641"/>
    </row>
    <row r="33" spans="1:18" ht="27" customHeight="1">
      <c r="A33" s="392">
        <v>22313</v>
      </c>
      <c r="B33" s="246" t="s">
        <v>251</v>
      </c>
      <c r="C33" s="246">
        <v>0</v>
      </c>
      <c r="D33" s="246">
        <v>0</v>
      </c>
      <c r="E33" s="246">
        <v>28000000</v>
      </c>
      <c r="F33" s="246">
        <v>40000000</v>
      </c>
      <c r="G33" s="246">
        <v>37240000</v>
      </c>
      <c r="H33" s="246">
        <v>75000000</v>
      </c>
      <c r="I33" s="246">
        <v>0</v>
      </c>
      <c r="J33" s="246">
        <v>2979200</v>
      </c>
      <c r="K33" s="246">
        <f t="shared" ref="K33:P33" si="6">2979200*70%</f>
        <v>2085439.9999999998</v>
      </c>
      <c r="L33" s="246">
        <f t="shared" si="6"/>
        <v>2085439.9999999998</v>
      </c>
      <c r="M33" s="246">
        <f t="shared" si="6"/>
        <v>2085439.9999999998</v>
      </c>
      <c r="N33" s="246">
        <f t="shared" si="6"/>
        <v>2085439.9999999998</v>
      </c>
      <c r="O33" s="246">
        <f t="shared" si="6"/>
        <v>2085439.9999999998</v>
      </c>
      <c r="P33" s="840">
        <f t="shared" si="6"/>
        <v>2085439.9999999998</v>
      </c>
      <c r="Q33" s="246">
        <f t="shared" si="0"/>
        <v>0</v>
      </c>
      <c r="R33" s="641"/>
    </row>
    <row r="34" spans="1:18" ht="27" customHeight="1">
      <c r="A34" s="392"/>
      <c r="B34" s="280" t="s">
        <v>92</v>
      </c>
      <c r="C34" s="246"/>
      <c r="D34" s="246"/>
      <c r="E34" s="246"/>
      <c r="F34" s="246">
        <v>0</v>
      </c>
      <c r="G34" s="246">
        <v>0</v>
      </c>
      <c r="H34" s="246">
        <v>0</v>
      </c>
      <c r="I34" s="280">
        <f t="shared" ref="I34:M34" si="7">SUM(I31:I33)</f>
        <v>12661600</v>
      </c>
      <c r="J34" s="280">
        <f t="shared" si="7"/>
        <v>66784891</v>
      </c>
      <c r="K34" s="280">
        <f t="shared" si="7"/>
        <v>46749423.700000003</v>
      </c>
      <c r="L34" s="280">
        <f t="shared" si="7"/>
        <v>46749423.700000003</v>
      </c>
      <c r="M34" s="280">
        <f t="shared" si="7"/>
        <v>56749423.700000003</v>
      </c>
      <c r="N34" s="280">
        <f>SUM(N31:N33)</f>
        <v>56749423.700000003</v>
      </c>
      <c r="O34" s="280">
        <f>SUM(O31:O33)</f>
        <v>136749423.69999999</v>
      </c>
      <c r="P34" s="851">
        <f>SUM(P31:P33)</f>
        <v>186914303.69999999</v>
      </c>
      <c r="Q34" s="280">
        <f t="shared" si="0"/>
        <v>50164880</v>
      </c>
      <c r="R34" s="641"/>
    </row>
    <row r="35" spans="1:18" ht="27" customHeight="1">
      <c r="A35" s="476">
        <v>270</v>
      </c>
      <c r="B35" s="280" t="s">
        <v>253</v>
      </c>
      <c r="C35" s="280">
        <v>0</v>
      </c>
      <c r="D35" s="280">
        <f>SUM(D24:D33)</f>
        <v>28000000</v>
      </c>
      <c r="E35" s="280">
        <f>SUM(E24:E33)</f>
        <v>65926400</v>
      </c>
      <c r="F35" s="280">
        <f>SUM(F24:F34)</f>
        <v>80000000</v>
      </c>
      <c r="G35" s="280">
        <f>SUM(G24:G34)</f>
        <v>74480000</v>
      </c>
      <c r="H35" s="280">
        <f>SUM(H24:H34)</f>
        <v>133620000</v>
      </c>
      <c r="I35" s="280" t="e">
        <f>I34+I30+I24+I15+#REF!</f>
        <v>#REF!</v>
      </c>
      <c r="J35" s="280"/>
      <c r="K35" s="280"/>
      <c r="L35" s="280"/>
      <c r="M35" s="280"/>
      <c r="N35" s="280"/>
      <c r="O35" s="280"/>
      <c r="P35" s="851"/>
      <c r="Q35" s="246">
        <f t="shared" si="0"/>
        <v>0</v>
      </c>
      <c r="R35" s="641"/>
    </row>
    <row r="36" spans="1:18" ht="27" customHeight="1">
      <c r="A36" s="476">
        <v>2710</v>
      </c>
      <c r="B36" s="280" t="s">
        <v>252</v>
      </c>
      <c r="C36" s="246"/>
      <c r="D36" s="246">
        <v>0</v>
      </c>
      <c r="E36" s="246"/>
      <c r="F36" s="246"/>
      <c r="G36" s="246"/>
      <c r="H36" s="246"/>
      <c r="I36" s="246"/>
      <c r="J36" s="305"/>
      <c r="K36" s="305"/>
      <c r="L36" s="246"/>
      <c r="M36" s="246"/>
      <c r="N36" s="246"/>
      <c r="O36" s="246"/>
      <c r="P36" s="840"/>
      <c r="Q36" s="246">
        <f t="shared" si="0"/>
        <v>0</v>
      </c>
      <c r="R36" s="641"/>
    </row>
    <row r="37" spans="1:18" ht="27" customHeight="1">
      <c r="A37" s="392">
        <v>27601</v>
      </c>
      <c r="B37" s="246" t="s">
        <v>264</v>
      </c>
      <c r="C37" s="246"/>
      <c r="D37" s="246" t="e">
        <f>#REF!-D36</f>
        <v>#REF!</v>
      </c>
      <c r="E37" s="246"/>
      <c r="F37" s="246"/>
      <c r="G37" s="246"/>
      <c r="H37" s="246"/>
      <c r="I37" s="246"/>
      <c r="J37" s="274">
        <f t="shared" ref="J37:N38" si="8">I37-H37</f>
        <v>0</v>
      </c>
      <c r="K37" s="274">
        <f t="shared" si="8"/>
        <v>0</v>
      </c>
      <c r="L37" s="246">
        <f t="shared" si="8"/>
        <v>0</v>
      </c>
      <c r="M37" s="246">
        <f t="shared" si="8"/>
        <v>0</v>
      </c>
      <c r="N37" s="246">
        <f t="shared" si="8"/>
        <v>0</v>
      </c>
      <c r="O37" s="246">
        <v>30000000</v>
      </c>
      <c r="P37" s="840">
        <v>30000000</v>
      </c>
      <c r="Q37" s="246">
        <f t="shared" si="0"/>
        <v>0</v>
      </c>
      <c r="R37" s="641"/>
    </row>
    <row r="38" spans="1:18" ht="27" customHeight="1">
      <c r="A38" s="392">
        <v>27402</v>
      </c>
      <c r="B38" s="246" t="s">
        <v>265</v>
      </c>
      <c r="C38" s="292"/>
      <c r="D38" s="292"/>
      <c r="E38" s="292"/>
      <c r="F38" s="292"/>
      <c r="G38" s="292"/>
      <c r="H38" s="292"/>
      <c r="I38" s="292"/>
      <c r="J38" s="274">
        <f t="shared" si="8"/>
        <v>0</v>
      </c>
      <c r="K38" s="290">
        <v>108000000</v>
      </c>
      <c r="L38" s="246"/>
      <c r="M38" s="246">
        <v>132000000</v>
      </c>
      <c r="N38" s="246">
        <v>0</v>
      </c>
      <c r="O38" s="246">
        <v>0</v>
      </c>
      <c r="P38" s="840">
        <v>150000000</v>
      </c>
      <c r="Q38" s="246">
        <f t="shared" si="0"/>
        <v>150000000</v>
      </c>
      <c r="R38" s="641"/>
    </row>
    <row r="39" spans="1:18" ht="27" customHeight="1">
      <c r="A39" s="392">
        <v>27502</v>
      </c>
      <c r="B39" s="246" t="s">
        <v>148</v>
      </c>
      <c r="C39" s="292"/>
      <c r="D39" s="292"/>
      <c r="E39" s="292"/>
      <c r="F39" s="292"/>
      <c r="G39" s="292"/>
      <c r="H39" s="292"/>
      <c r="I39" s="292"/>
      <c r="J39" s="290">
        <f>2979200+2234400</f>
        <v>5213600</v>
      </c>
      <c r="K39" s="290">
        <f>5213600*70%</f>
        <v>3649520</v>
      </c>
      <c r="L39" s="246">
        <v>0</v>
      </c>
      <c r="M39" s="246">
        <v>0</v>
      </c>
      <c r="N39" s="246">
        <v>0</v>
      </c>
      <c r="O39" s="246">
        <v>0</v>
      </c>
      <c r="P39" s="840">
        <v>0</v>
      </c>
      <c r="Q39" s="246">
        <f t="shared" si="0"/>
        <v>0</v>
      </c>
      <c r="R39" s="641"/>
    </row>
    <row r="40" spans="1:18" ht="27" customHeight="1">
      <c r="A40" s="392">
        <v>27604</v>
      </c>
      <c r="B40" s="246" t="s">
        <v>149</v>
      </c>
      <c r="C40" s="292"/>
      <c r="D40" s="292"/>
      <c r="E40" s="292"/>
      <c r="F40" s="292"/>
      <c r="G40" s="292"/>
      <c r="H40" s="292"/>
      <c r="I40" s="292"/>
      <c r="J40" s="290">
        <f>4468800+5000000</f>
        <v>9468800</v>
      </c>
      <c r="K40" s="290">
        <f>9468800*70%</f>
        <v>6628160</v>
      </c>
      <c r="L40" s="246">
        <v>0</v>
      </c>
      <c r="M40" s="246">
        <v>0</v>
      </c>
      <c r="N40" s="246">
        <v>0</v>
      </c>
      <c r="O40" s="246">
        <v>0</v>
      </c>
      <c r="P40" s="840">
        <v>0</v>
      </c>
      <c r="Q40" s="246">
        <f t="shared" si="0"/>
        <v>0</v>
      </c>
      <c r="R40" s="641"/>
    </row>
    <row r="41" spans="1:18" ht="27" customHeight="1">
      <c r="A41" s="476"/>
      <c r="B41" s="280" t="s">
        <v>92</v>
      </c>
      <c r="C41" s="292"/>
      <c r="D41" s="292"/>
      <c r="E41" s="292"/>
      <c r="F41" s="292"/>
      <c r="G41" s="292"/>
      <c r="H41" s="292"/>
      <c r="I41" s="292"/>
      <c r="J41" s="291">
        <f>SUM(J39:J40)</f>
        <v>14682400</v>
      </c>
      <c r="K41" s="291">
        <f t="shared" ref="K41:P41" si="9">SUM(K37:K40)</f>
        <v>118277680</v>
      </c>
      <c r="L41" s="280">
        <f t="shared" si="9"/>
        <v>0</v>
      </c>
      <c r="M41" s="280">
        <f t="shared" si="9"/>
        <v>132000000</v>
      </c>
      <c r="N41" s="280">
        <f t="shared" si="9"/>
        <v>0</v>
      </c>
      <c r="O41" s="280">
        <f t="shared" si="9"/>
        <v>30000000</v>
      </c>
      <c r="P41" s="851">
        <f t="shared" si="9"/>
        <v>180000000</v>
      </c>
      <c r="Q41" s="280">
        <f t="shared" si="0"/>
        <v>150000000</v>
      </c>
      <c r="R41" s="641"/>
    </row>
    <row r="42" spans="1:18" ht="27" customHeight="1">
      <c r="A42" s="476">
        <v>2720</v>
      </c>
      <c r="B42" s="280" t="s">
        <v>902</v>
      </c>
      <c r="C42" s="292"/>
      <c r="D42" s="292"/>
      <c r="E42" s="292"/>
      <c r="F42" s="292"/>
      <c r="G42" s="292"/>
      <c r="H42" s="292"/>
      <c r="I42" s="292"/>
      <c r="J42" s="291"/>
      <c r="K42" s="291"/>
      <c r="L42" s="280"/>
      <c r="M42" s="280"/>
      <c r="N42" s="280"/>
      <c r="O42" s="280"/>
      <c r="P42" s="851"/>
      <c r="Q42" s="246">
        <f t="shared" si="0"/>
        <v>0</v>
      </c>
      <c r="R42" s="641"/>
    </row>
    <row r="43" spans="1:18" ht="27" customHeight="1">
      <c r="A43" s="392">
        <v>27202</v>
      </c>
      <c r="B43" s="246" t="s">
        <v>1284</v>
      </c>
      <c r="C43" s="292"/>
      <c r="D43" s="292"/>
      <c r="E43" s="292"/>
      <c r="F43" s="292"/>
      <c r="G43" s="292"/>
      <c r="H43" s="292"/>
      <c r="I43" s="292"/>
      <c r="J43" s="291"/>
      <c r="K43" s="291"/>
      <c r="L43" s="280">
        <v>0</v>
      </c>
      <c r="M43" s="246">
        <v>300000000</v>
      </c>
      <c r="N43" s="246">
        <v>800000000</v>
      </c>
      <c r="O43" s="246">
        <v>0</v>
      </c>
      <c r="P43" s="840">
        <v>0</v>
      </c>
      <c r="Q43" s="246">
        <f t="shared" si="0"/>
        <v>0</v>
      </c>
      <c r="R43" s="641"/>
    </row>
    <row r="44" spans="1:18" ht="27" customHeight="1">
      <c r="A44" s="392"/>
      <c r="B44" s="280" t="s">
        <v>92</v>
      </c>
      <c r="C44" s="292"/>
      <c r="D44" s="292"/>
      <c r="E44" s="292"/>
      <c r="F44" s="292"/>
      <c r="G44" s="292"/>
      <c r="H44" s="292"/>
      <c r="I44" s="292"/>
      <c r="J44" s="291"/>
      <c r="K44" s="291"/>
      <c r="L44" s="280"/>
      <c r="M44" s="280">
        <f>SUM(M43)</f>
        <v>300000000</v>
      </c>
      <c r="N44" s="280">
        <f>SUM(N43)</f>
        <v>800000000</v>
      </c>
      <c r="O44" s="280">
        <f>SUM(O43)</f>
        <v>0</v>
      </c>
      <c r="P44" s="851">
        <f>SUM(P43)</f>
        <v>0</v>
      </c>
      <c r="Q44" s="246">
        <f t="shared" si="0"/>
        <v>0</v>
      </c>
      <c r="R44" s="641"/>
    </row>
    <row r="45" spans="1:18" ht="27" customHeight="1">
      <c r="A45" s="476">
        <v>2630</v>
      </c>
      <c r="B45" s="280" t="s">
        <v>1063</v>
      </c>
      <c r="C45" s="292"/>
      <c r="D45" s="292"/>
      <c r="E45" s="292"/>
      <c r="F45" s="292"/>
      <c r="G45" s="292"/>
      <c r="H45" s="292"/>
      <c r="I45" s="292"/>
      <c r="J45" s="291"/>
      <c r="K45" s="291"/>
      <c r="L45" s="280"/>
      <c r="M45" s="280"/>
      <c r="N45" s="280"/>
      <c r="O45" s="280"/>
      <c r="P45" s="851"/>
      <c r="Q45" s="246">
        <f t="shared" si="0"/>
        <v>0</v>
      </c>
      <c r="R45" s="641"/>
    </row>
    <row r="46" spans="1:18" ht="27" customHeight="1">
      <c r="A46" s="392">
        <v>26301</v>
      </c>
      <c r="B46" s="246" t="s">
        <v>1064</v>
      </c>
      <c r="C46" s="292"/>
      <c r="D46" s="292"/>
      <c r="E46" s="292"/>
      <c r="F46" s="292"/>
      <c r="G46" s="292"/>
      <c r="H46" s="292"/>
      <c r="I46" s="292"/>
      <c r="J46" s="291"/>
      <c r="K46" s="291"/>
      <c r="L46" s="280"/>
      <c r="M46" s="280"/>
      <c r="N46" s="246">
        <v>50000000</v>
      </c>
      <c r="O46" s="246">
        <v>100000000</v>
      </c>
      <c r="P46" s="840">
        <v>100000000</v>
      </c>
      <c r="Q46" s="246">
        <f t="shared" si="0"/>
        <v>0</v>
      </c>
      <c r="R46" s="641"/>
    </row>
    <row r="47" spans="1:18" ht="27" customHeight="1">
      <c r="A47" s="392"/>
      <c r="B47" s="280" t="s">
        <v>92</v>
      </c>
      <c r="C47" s="292"/>
      <c r="D47" s="292"/>
      <c r="E47" s="292"/>
      <c r="F47" s="292"/>
      <c r="G47" s="292"/>
      <c r="H47" s="292"/>
      <c r="I47" s="292"/>
      <c r="J47" s="291"/>
      <c r="K47" s="291"/>
      <c r="L47" s="280"/>
      <c r="M47" s="280"/>
      <c r="N47" s="280">
        <f>SUM(N46)</f>
        <v>50000000</v>
      </c>
      <c r="O47" s="280">
        <f>SUM(O46)</f>
        <v>100000000</v>
      </c>
      <c r="P47" s="851">
        <f>SUM(P46)</f>
        <v>100000000</v>
      </c>
      <c r="Q47" s="280">
        <f t="shared" si="0"/>
        <v>0</v>
      </c>
      <c r="R47" s="641"/>
    </row>
    <row r="48" spans="1:18" ht="27" customHeight="1">
      <c r="A48" s="392">
        <v>2810</v>
      </c>
      <c r="B48" s="280" t="s">
        <v>1376</v>
      </c>
      <c r="C48" s="292"/>
      <c r="D48" s="292"/>
      <c r="E48" s="292"/>
      <c r="F48" s="292"/>
      <c r="G48" s="292"/>
      <c r="H48" s="292"/>
      <c r="I48" s="292"/>
      <c r="J48" s="291"/>
      <c r="K48" s="291"/>
      <c r="L48" s="280"/>
      <c r="M48" s="280"/>
      <c r="N48" s="280"/>
      <c r="O48" s="280"/>
      <c r="P48" s="851"/>
      <c r="Q48" s="280">
        <f t="shared" si="0"/>
        <v>0</v>
      </c>
      <c r="R48" s="641"/>
    </row>
    <row r="49" spans="1:18" ht="27" customHeight="1">
      <c r="A49" s="392">
        <v>28101</v>
      </c>
      <c r="B49" s="246" t="s">
        <v>509</v>
      </c>
      <c r="C49" s="292"/>
      <c r="D49" s="292"/>
      <c r="E49" s="292"/>
      <c r="F49" s="292"/>
      <c r="G49" s="292"/>
      <c r="H49" s="292"/>
      <c r="I49" s="292"/>
      <c r="J49" s="291"/>
      <c r="K49" s="291"/>
      <c r="L49" s="280"/>
      <c r="M49" s="280"/>
      <c r="N49" s="280"/>
      <c r="O49" s="280"/>
      <c r="P49" s="840">
        <v>90000000</v>
      </c>
      <c r="Q49" s="246">
        <f t="shared" si="0"/>
        <v>90000000</v>
      </c>
      <c r="R49" s="641"/>
    </row>
    <row r="50" spans="1:18" ht="27" customHeight="1">
      <c r="A50" s="392"/>
      <c r="B50" s="280" t="s">
        <v>92</v>
      </c>
      <c r="C50" s="292"/>
      <c r="D50" s="292"/>
      <c r="E50" s="292"/>
      <c r="F50" s="292"/>
      <c r="G50" s="292"/>
      <c r="H50" s="292"/>
      <c r="I50" s="292"/>
      <c r="J50" s="291"/>
      <c r="K50" s="291"/>
      <c r="L50" s="280"/>
      <c r="M50" s="280"/>
      <c r="N50" s="280"/>
      <c r="O50" s="280"/>
      <c r="P50" s="851">
        <f>SUM(P49)</f>
        <v>90000000</v>
      </c>
      <c r="Q50" s="280">
        <f t="shared" si="0"/>
        <v>90000000</v>
      </c>
      <c r="R50" s="641"/>
    </row>
    <row r="51" spans="1:18" ht="27" customHeight="1">
      <c r="A51" s="392"/>
      <c r="B51" s="280" t="s">
        <v>37</v>
      </c>
      <c r="C51" s="292"/>
      <c r="D51" s="292"/>
      <c r="E51" s="292"/>
      <c r="F51" s="292"/>
      <c r="G51" s="292"/>
      <c r="H51" s="292"/>
      <c r="I51" s="292"/>
      <c r="J51" s="291">
        <f>J41+J34+J29+J23+J9</f>
        <v>995253683</v>
      </c>
      <c r="K51" s="291">
        <f>K41+K34+K29+K23+K9</f>
        <v>1753203778.0999999</v>
      </c>
      <c r="L51" s="280">
        <f>L41+L34+L29+L23+L9</f>
        <v>2171533218.0999999</v>
      </c>
      <c r="M51" s="280">
        <f>M41+M34+M29+M23+M9+M44</f>
        <v>3318687778.0999999</v>
      </c>
      <c r="N51" s="280">
        <f>N47+N44+N41+N34+N29+N23+N9</f>
        <v>4103474978.0999999</v>
      </c>
      <c r="O51" s="280">
        <f>O47+O44+O41+O34+O29+O23+O9</f>
        <v>4717575618.1000004</v>
      </c>
      <c r="P51" s="851">
        <f>P47+P44+P41+P34+P29+P23+P9+P50</f>
        <v>6514883407.6999998</v>
      </c>
      <c r="Q51" s="280">
        <f t="shared" si="0"/>
        <v>1797307789.5999994</v>
      </c>
      <c r="R51" s="641"/>
    </row>
  </sheetData>
  <pageMargins left="0.67" right="0.31" top="0.75" bottom="0.45" header="0.3" footer="0.22"/>
  <pageSetup scale="50" orientation="portrait" r:id="rId1"/>
  <headerFooter>
    <oddHeader>&amp;C&amp;"Algerian,Bold"&amp;36WASAARADdA SHAQADA IYO ARIMAHA BULSHADA</oddHeader>
    <oddFooter>&amp;R&amp;"Times New Roman,Bold"&amp;14 50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1"/>
  <sheetViews>
    <sheetView view="pageBreakPreview" topLeftCell="A31" zoomScale="61" zoomScaleNormal="100" zoomScaleSheetLayoutView="61" workbookViewId="0">
      <selection activeCell="R49" sqref="R49"/>
    </sheetView>
  </sheetViews>
  <sheetFormatPr defaultRowHeight="24.95" customHeight="1"/>
  <cols>
    <col min="1" max="1" width="18.1640625" style="565" bestFit="1" customWidth="1"/>
    <col min="2" max="2" width="84.83203125" style="399" customWidth="1"/>
    <col min="3" max="11" width="9.33203125" style="399" hidden="1" customWidth="1"/>
    <col min="12" max="12" width="18.5" style="399" hidden="1" customWidth="1"/>
    <col min="13" max="13" width="27.6640625" style="399" hidden="1" customWidth="1"/>
    <col min="14" max="14" width="3" style="399" hidden="1" customWidth="1"/>
    <col min="15" max="15" width="0.1640625" style="399" customWidth="1"/>
    <col min="16" max="16" width="2.1640625" style="399" hidden="1" customWidth="1"/>
    <col min="17" max="19" width="27.6640625" style="399" customWidth="1"/>
    <col min="20" max="16384" width="9.33203125" style="399"/>
  </cols>
  <sheetData>
    <row r="1" spans="1:19" ht="24.95" customHeight="1">
      <c r="A1" s="544" t="s">
        <v>39</v>
      </c>
      <c r="B1" s="545" t="s">
        <v>1423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</row>
    <row r="2" spans="1:19" ht="24.95" customHeight="1">
      <c r="A2" s="544" t="s">
        <v>25</v>
      </c>
      <c r="B2" s="545" t="s">
        <v>1</v>
      </c>
      <c r="C2" s="478" t="s">
        <v>44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63</v>
      </c>
      <c r="I2" s="482" t="s">
        <v>103</v>
      </c>
      <c r="J2" s="482" t="s">
        <v>109</v>
      </c>
      <c r="K2" s="482" t="s">
        <v>115</v>
      </c>
      <c r="L2" s="482" t="s">
        <v>151</v>
      </c>
      <c r="M2" s="482" t="s">
        <v>257</v>
      </c>
      <c r="N2" s="482" t="s">
        <v>814</v>
      </c>
      <c r="O2" s="482" t="s">
        <v>874</v>
      </c>
      <c r="P2" s="482" t="s">
        <v>973</v>
      </c>
      <c r="Q2" s="482" t="s">
        <v>1160</v>
      </c>
      <c r="R2" s="482" t="s">
        <v>1320</v>
      </c>
      <c r="S2" s="482" t="s">
        <v>56</v>
      </c>
    </row>
    <row r="3" spans="1:19" ht="24.95" customHeight="1">
      <c r="A3" s="476">
        <v>210</v>
      </c>
      <c r="B3" s="280" t="s">
        <v>137</v>
      </c>
      <c r="C3" s="478"/>
      <c r="D3" s="478"/>
      <c r="E3" s="478"/>
      <c r="F3" s="478"/>
      <c r="G3" s="478"/>
      <c r="H3" s="478"/>
      <c r="I3" s="478"/>
      <c r="J3" s="478"/>
      <c r="K3" s="478"/>
      <c r="L3" s="292"/>
      <c r="M3" s="292"/>
      <c r="N3" s="292"/>
      <c r="O3" s="292"/>
      <c r="P3" s="292"/>
      <c r="Q3" s="292"/>
      <c r="R3" s="292"/>
      <c r="S3" s="292"/>
    </row>
    <row r="4" spans="1:19" ht="24.95" customHeight="1">
      <c r="A4" s="476">
        <v>2110</v>
      </c>
      <c r="B4" s="280" t="s">
        <v>213</v>
      </c>
      <c r="C4" s="274">
        <v>0</v>
      </c>
      <c r="D4" s="274">
        <v>45168000</v>
      </c>
      <c r="E4" s="274">
        <v>82272000</v>
      </c>
      <c r="F4" s="274">
        <v>82272000</v>
      </c>
      <c r="G4" s="274">
        <v>167590800</v>
      </c>
      <c r="H4" s="274">
        <f>135236400+4149600+27000000+3000000</f>
        <v>169386000</v>
      </c>
      <c r="I4" s="274">
        <f>169386000+6000000+4149600</f>
        <v>179535600</v>
      </c>
      <c r="J4" s="274"/>
      <c r="K4" s="274"/>
      <c r="L4" s="274"/>
      <c r="M4" s="246"/>
      <c r="N4" s="246"/>
      <c r="O4" s="246"/>
      <c r="P4" s="246"/>
      <c r="Q4" s="246"/>
      <c r="R4" s="246"/>
      <c r="S4" s="246"/>
    </row>
    <row r="5" spans="1:19" ht="24.95" customHeight="1">
      <c r="A5" s="392">
        <v>21101</v>
      </c>
      <c r="B5" s="246" t="s">
        <v>28</v>
      </c>
      <c r="C5" s="274">
        <v>0</v>
      </c>
      <c r="D5" s="274">
        <v>24500000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274">
        <v>37471200</v>
      </c>
      <c r="L5" s="274">
        <f>416952000+321662671</f>
        <v>738614671</v>
      </c>
      <c r="M5" s="274">
        <f>shaqaalaha2011!H45+36000000</f>
        <v>1321502400</v>
      </c>
      <c r="N5" s="274">
        <v>1087912800</v>
      </c>
      <c r="O5" s="274">
        <v>1496401920</v>
      </c>
      <c r="P5" s="274">
        <v>1594644480</v>
      </c>
      <c r="Q5" s="274">
        <v>1641257280</v>
      </c>
      <c r="R5" s="274">
        <v>2060311968</v>
      </c>
      <c r="S5" s="274">
        <f>R5-Q5</f>
        <v>419054688</v>
      </c>
    </row>
    <row r="6" spans="1:19" ht="24.95" customHeight="1">
      <c r="A6" s="392">
        <v>21102</v>
      </c>
      <c r="B6" s="246" t="s">
        <v>609</v>
      </c>
      <c r="C6" s="246">
        <v>0</v>
      </c>
      <c r="D6" s="246">
        <v>10800000</v>
      </c>
      <c r="E6" s="246">
        <v>14400000</v>
      </c>
      <c r="F6" s="246">
        <v>14400000</v>
      </c>
      <c r="G6" s="246">
        <v>14400000</v>
      </c>
      <c r="H6" s="246">
        <f>14400000+16200000+720000</f>
        <v>31320000</v>
      </c>
      <c r="I6" s="246">
        <f>31320000+720000+3960000</f>
        <v>36000000</v>
      </c>
      <c r="J6" s="274">
        <v>0</v>
      </c>
      <c r="K6" s="274">
        <v>0</v>
      </c>
      <c r="L6" s="274">
        <v>66000000</v>
      </c>
      <c r="M6" s="274">
        <v>132000000</v>
      </c>
      <c r="N6" s="274">
        <v>349200000</v>
      </c>
      <c r="O6" s="274">
        <v>349200000</v>
      </c>
      <c r="P6" s="274">
        <v>349200000</v>
      </c>
      <c r="Q6" s="281">
        <v>446400000</v>
      </c>
      <c r="R6" s="887">
        <v>446400000</v>
      </c>
      <c r="S6" s="274">
        <f t="shared" ref="S6:S49" si="0">R6-Q6</f>
        <v>0</v>
      </c>
    </row>
    <row r="7" spans="1:19" ht="24.95" customHeight="1">
      <c r="A7" s="392">
        <v>21103</v>
      </c>
      <c r="B7" s="246" t="s">
        <v>30</v>
      </c>
      <c r="C7" s="280">
        <v>0</v>
      </c>
      <c r="D7" s="280">
        <f>SUM(D4:D6)</f>
        <v>80468000</v>
      </c>
      <c r="E7" s="280">
        <f>SUM(E4:E6)</f>
        <v>96672000</v>
      </c>
      <c r="F7" s="280">
        <f>SUM(F4:F6)</f>
        <v>96672000</v>
      </c>
      <c r="G7" s="280">
        <f>SUM(G4:G6)</f>
        <v>181990800</v>
      </c>
      <c r="H7" s="280">
        <f>SUM(H4:H6)</f>
        <v>200706000</v>
      </c>
      <c r="I7" s="246">
        <v>0</v>
      </c>
      <c r="J7" s="246">
        <v>0</v>
      </c>
      <c r="K7" s="246">
        <v>34800000</v>
      </c>
      <c r="L7" s="274">
        <v>63000000</v>
      </c>
      <c r="M7" s="274">
        <v>84600000</v>
      </c>
      <c r="N7" s="274">
        <v>151200000</v>
      </c>
      <c r="O7" s="274">
        <v>216000000</v>
      </c>
      <c r="P7" s="274">
        <v>216000000</v>
      </c>
      <c r="Q7" s="281">
        <v>306000000</v>
      </c>
      <c r="R7" s="887">
        <v>324000000</v>
      </c>
      <c r="S7" s="274">
        <f t="shared" si="0"/>
        <v>18000000</v>
      </c>
    </row>
    <row r="8" spans="1:19" ht="24.95" customHeight="1">
      <c r="A8" s="392">
        <v>21105</v>
      </c>
      <c r="B8" s="246" t="s">
        <v>526</v>
      </c>
      <c r="C8" s="280"/>
      <c r="D8" s="280"/>
      <c r="E8" s="280"/>
      <c r="F8" s="280"/>
      <c r="G8" s="280"/>
      <c r="H8" s="280"/>
      <c r="I8" s="246"/>
      <c r="J8" s="246"/>
      <c r="K8" s="246"/>
      <c r="L8" s="274"/>
      <c r="M8" s="274"/>
      <c r="N8" s="274">
        <v>13500000</v>
      </c>
      <c r="O8" s="274">
        <v>215100000</v>
      </c>
      <c r="P8" s="274">
        <v>215100000</v>
      </c>
      <c r="Q8" s="274">
        <v>251100000</v>
      </c>
      <c r="R8" s="853">
        <v>455100000</v>
      </c>
      <c r="S8" s="274">
        <f t="shared" si="0"/>
        <v>204000000</v>
      </c>
    </row>
    <row r="9" spans="1:19" ht="24.95" customHeight="1">
      <c r="A9" s="392"/>
      <c r="B9" s="280" t="s">
        <v>92</v>
      </c>
      <c r="C9" s="280">
        <v>0</v>
      </c>
      <c r="D9" s="280" t="e">
        <f>SUM(#REF!)</f>
        <v>#REF!</v>
      </c>
      <c r="E9" s="280" t="e">
        <f>SUM(#REF!)</f>
        <v>#REF!</v>
      </c>
      <c r="F9" s="280" t="e">
        <f>SUM(#REF!)</f>
        <v>#REF!</v>
      </c>
      <c r="G9" s="280" t="e">
        <f>SUM(#REF!)</f>
        <v>#REF!</v>
      </c>
      <c r="H9" s="280" t="e">
        <f>SUM(#REF!)</f>
        <v>#REF!</v>
      </c>
      <c r="I9" s="246">
        <v>0</v>
      </c>
      <c r="J9" s="280">
        <f>SUM(J5:J7)</f>
        <v>0</v>
      </c>
      <c r="K9" s="280">
        <f>SUM(K5:K7)</f>
        <v>72271200</v>
      </c>
      <c r="L9" s="279">
        <f>SUM(L5:L7)</f>
        <v>867614671</v>
      </c>
      <c r="M9" s="279">
        <f>SUM(M5:M7)</f>
        <v>1538102400</v>
      </c>
      <c r="N9" s="279">
        <f>SUM(N5:N8)</f>
        <v>1601812800</v>
      </c>
      <c r="O9" s="279">
        <f>SUM(O5:O8)</f>
        <v>2276701920</v>
      </c>
      <c r="P9" s="279">
        <f>SUM(P5:P8)</f>
        <v>2374944480</v>
      </c>
      <c r="Q9" s="279">
        <f>SUM(Q5:Q8)</f>
        <v>2644757280</v>
      </c>
      <c r="R9" s="850">
        <f>SUM(R5:R8)</f>
        <v>3285811968</v>
      </c>
      <c r="S9" s="279">
        <f t="shared" si="0"/>
        <v>641054688</v>
      </c>
    </row>
    <row r="10" spans="1:19" ht="24.95" customHeight="1">
      <c r="A10" s="476">
        <v>220</v>
      </c>
      <c r="B10" s="280" t="s">
        <v>225</v>
      </c>
      <c r="C10" s="246" t="s">
        <v>4</v>
      </c>
      <c r="D10" s="246"/>
      <c r="E10" s="246"/>
      <c r="F10" s="246"/>
      <c r="G10" s="246"/>
      <c r="H10" s="246"/>
      <c r="I10" s="246">
        <v>0</v>
      </c>
      <c r="J10" s="246"/>
      <c r="K10" s="246"/>
      <c r="L10" s="274"/>
      <c r="M10" s="274"/>
      <c r="N10" s="274"/>
      <c r="O10" s="274"/>
      <c r="P10" s="274"/>
      <c r="Q10" s="274"/>
      <c r="R10" s="853"/>
      <c r="S10" s="274">
        <f t="shared" si="0"/>
        <v>0</v>
      </c>
    </row>
    <row r="11" spans="1:19" ht="24.95" customHeight="1">
      <c r="A11" s="476">
        <v>2210</v>
      </c>
      <c r="B11" s="280" t="s">
        <v>226</v>
      </c>
      <c r="C11" s="246">
        <v>0</v>
      </c>
      <c r="D11" s="246">
        <v>22600000</v>
      </c>
      <c r="E11" s="246">
        <v>0</v>
      </c>
      <c r="F11" s="246">
        <v>0</v>
      </c>
      <c r="G11" s="246">
        <v>0</v>
      </c>
      <c r="H11" s="246">
        <v>0</v>
      </c>
      <c r="I11" s="246">
        <v>7448000</v>
      </c>
      <c r="J11" s="246"/>
      <c r="K11" s="246"/>
      <c r="L11" s="274"/>
      <c r="M11" s="274"/>
      <c r="N11" s="274"/>
      <c r="O11" s="274"/>
      <c r="P11" s="274"/>
      <c r="Q11" s="274"/>
      <c r="R11" s="853"/>
      <c r="S11" s="274">
        <f t="shared" si="0"/>
        <v>0</v>
      </c>
    </row>
    <row r="12" spans="1:19" ht="24.95" customHeight="1">
      <c r="A12" s="392">
        <v>22101</v>
      </c>
      <c r="B12" s="246" t="s">
        <v>33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7448000</v>
      </c>
      <c r="J12" s="246">
        <v>0</v>
      </c>
      <c r="K12" s="246">
        <v>40000000</v>
      </c>
      <c r="L12" s="274">
        <v>11172000</v>
      </c>
      <c r="M12" s="274">
        <f>11172000*70%</f>
        <v>7820399.9999999991</v>
      </c>
      <c r="N12" s="274">
        <v>28000000</v>
      </c>
      <c r="O12" s="274">
        <v>28000000</v>
      </c>
      <c r="P12" s="274">
        <v>48000000</v>
      </c>
      <c r="Q12" s="274">
        <v>48000000</v>
      </c>
      <c r="R12" s="853">
        <v>100000000</v>
      </c>
      <c r="S12" s="274">
        <f t="shared" si="0"/>
        <v>52000000</v>
      </c>
    </row>
    <row r="13" spans="1:19" ht="24.95" customHeight="1">
      <c r="A13" s="392">
        <v>22104</v>
      </c>
      <c r="B13" s="246" t="s">
        <v>157</v>
      </c>
      <c r="C13" s="246"/>
      <c r="D13" s="246"/>
      <c r="E13" s="246"/>
      <c r="F13" s="246"/>
      <c r="G13" s="246"/>
      <c r="H13" s="246"/>
      <c r="I13" s="246">
        <v>37240000</v>
      </c>
      <c r="J13" s="246">
        <v>0</v>
      </c>
      <c r="K13" s="246">
        <v>15000000</v>
      </c>
      <c r="L13" s="274">
        <v>18620000</v>
      </c>
      <c r="M13" s="274">
        <f>18620000*70%</f>
        <v>13034000</v>
      </c>
      <c r="N13" s="274">
        <f>18620000*70%</f>
        <v>13034000</v>
      </c>
      <c r="O13" s="274">
        <f>18620000*70%</f>
        <v>13034000</v>
      </c>
      <c r="P13" s="274">
        <v>18034000</v>
      </c>
      <c r="Q13" s="274">
        <v>18034000</v>
      </c>
      <c r="R13" s="853">
        <v>40000000</v>
      </c>
      <c r="S13" s="274">
        <f t="shared" si="0"/>
        <v>21966000</v>
      </c>
    </row>
    <row r="14" spans="1:19" ht="24.95" customHeight="1">
      <c r="A14" s="392">
        <v>21105</v>
      </c>
      <c r="B14" s="246" t="s">
        <v>852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74">
        <v>15640800</v>
      </c>
      <c r="M14" s="274">
        <f>15640800*70%</f>
        <v>10948560</v>
      </c>
      <c r="N14" s="274">
        <v>72000000</v>
      </c>
      <c r="O14" s="274">
        <v>0</v>
      </c>
      <c r="P14" s="274">
        <v>50000000</v>
      </c>
      <c r="Q14" s="274">
        <v>50000000</v>
      </c>
      <c r="R14" s="853">
        <v>50000000</v>
      </c>
      <c r="S14" s="274">
        <f t="shared" si="0"/>
        <v>0</v>
      </c>
    </row>
    <row r="15" spans="1:19" ht="24.95" customHeight="1">
      <c r="A15" s="392">
        <v>22106</v>
      </c>
      <c r="B15" s="246" t="s">
        <v>126</v>
      </c>
      <c r="C15" s="246">
        <v>0</v>
      </c>
      <c r="D15" s="246">
        <v>4000000</v>
      </c>
      <c r="E15" s="246">
        <v>8000000</v>
      </c>
      <c r="F15" s="246">
        <v>17000000</v>
      </c>
      <c r="G15" s="246">
        <v>12661600</v>
      </c>
      <c r="H15" s="246">
        <v>25000000</v>
      </c>
      <c r="I15" s="280">
        <f>SUM(I9:I13)</f>
        <v>52136000</v>
      </c>
      <c r="J15" s="246">
        <v>0</v>
      </c>
      <c r="K15" s="246">
        <v>0</v>
      </c>
      <c r="L15" s="274">
        <v>4468800</v>
      </c>
      <c r="M15" s="274">
        <f>4468800*70%</f>
        <v>3128160</v>
      </c>
      <c r="N15" s="274">
        <v>0</v>
      </c>
      <c r="O15" s="274">
        <v>0</v>
      </c>
      <c r="P15" s="274">
        <v>0</v>
      </c>
      <c r="Q15" s="274">
        <v>0</v>
      </c>
      <c r="R15" s="853">
        <v>0</v>
      </c>
      <c r="S15" s="274">
        <f t="shared" si="0"/>
        <v>0</v>
      </c>
    </row>
    <row r="16" spans="1:19" ht="24.95" customHeight="1">
      <c r="A16" s="392">
        <v>22107</v>
      </c>
      <c r="B16" s="246" t="s">
        <v>372</v>
      </c>
      <c r="C16" s="246"/>
      <c r="D16" s="246"/>
      <c r="E16" s="246"/>
      <c r="F16" s="246"/>
      <c r="G16" s="246"/>
      <c r="H16" s="246"/>
      <c r="I16" s="280"/>
      <c r="J16" s="246"/>
      <c r="K16" s="246"/>
      <c r="L16" s="274">
        <v>22344000</v>
      </c>
      <c r="M16" s="274">
        <f>L16*70%</f>
        <v>15640799.999999998</v>
      </c>
      <c r="N16" s="274">
        <v>150948560</v>
      </c>
      <c r="O16" s="274">
        <v>150948560</v>
      </c>
      <c r="P16" s="274">
        <v>170948560</v>
      </c>
      <c r="Q16" s="274">
        <v>170948560</v>
      </c>
      <c r="R16" s="853">
        <v>170948560</v>
      </c>
      <c r="S16" s="274">
        <f t="shared" si="0"/>
        <v>0</v>
      </c>
    </row>
    <row r="17" spans="1:19" ht="24.95" customHeight="1">
      <c r="A17" s="392">
        <v>22109</v>
      </c>
      <c r="B17" s="246" t="s">
        <v>136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/>
      <c r="J17" s="246">
        <v>0</v>
      </c>
      <c r="K17" s="246">
        <v>5000000</v>
      </c>
      <c r="L17" s="274">
        <v>8937600</v>
      </c>
      <c r="M17" s="274">
        <f t="shared" ref="M17:R17" si="1">8937600*70%</f>
        <v>6256320</v>
      </c>
      <c r="N17" s="274">
        <f t="shared" si="1"/>
        <v>6256320</v>
      </c>
      <c r="O17" s="274">
        <f t="shared" si="1"/>
        <v>6256320</v>
      </c>
      <c r="P17" s="274">
        <f t="shared" si="1"/>
        <v>6256320</v>
      </c>
      <c r="Q17" s="274">
        <f t="shared" si="1"/>
        <v>6256320</v>
      </c>
      <c r="R17" s="853">
        <f t="shared" si="1"/>
        <v>6256320</v>
      </c>
      <c r="S17" s="274">
        <f t="shared" si="0"/>
        <v>0</v>
      </c>
    </row>
    <row r="18" spans="1:19" ht="24.95" customHeight="1">
      <c r="A18" s="392">
        <v>22112</v>
      </c>
      <c r="B18" s="246" t="s">
        <v>35</v>
      </c>
      <c r="C18" s="246" t="s">
        <v>4</v>
      </c>
      <c r="D18" s="246">
        <v>0</v>
      </c>
      <c r="E18" s="246">
        <v>0</v>
      </c>
      <c r="F18" s="246">
        <v>3000000</v>
      </c>
      <c r="G18" s="246">
        <v>2234400</v>
      </c>
      <c r="H18" s="246">
        <v>2234400</v>
      </c>
      <c r="I18" s="246">
        <v>0</v>
      </c>
      <c r="J18" s="246">
        <v>0</v>
      </c>
      <c r="K18" s="246">
        <v>12000000</v>
      </c>
      <c r="L18" s="274">
        <v>13406400</v>
      </c>
      <c r="M18" s="274">
        <f>13406400*70%</f>
        <v>9384480</v>
      </c>
      <c r="N18" s="274">
        <v>39384480</v>
      </c>
      <c r="O18" s="274">
        <v>39384480</v>
      </c>
      <c r="P18" s="274">
        <v>49384480</v>
      </c>
      <c r="Q18" s="274">
        <v>49384480</v>
      </c>
      <c r="R18" s="853">
        <v>49384480</v>
      </c>
      <c r="S18" s="274">
        <f t="shared" si="0"/>
        <v>0</v>
      </c>
    </row>
    <row r="19" spans="1:19" ht="24.95" customHeight="1">
      <c r="A19" s="392">
        <v>22119</v>
      </c>
      <c r="B19" s="246" t="s">
        <v>918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74"/>
      <c r="M19" s="274"/>
      <c r="N19" s="274"/>
      <c r="O19" s="274">
        <v>99094050</v>
      </c>
      <c r="P19" s="274">
        <v>99094050</v>
      </c>
      <c r="Q19" s="274">
        <v>99094050</v>
      </c>
      <c r="R19" s="853">
        <v>0</v>
      </c>
      <c r="S19" s="274">
        <f t="shared" si="0"/>
        <v>-99094050</v>
      </c>
    </row>
    <row r="20" spans="1:19" ht="24.95" customHeight="1">
      <c r="A20" s="392">
        <v>22125</v>
      </c>
      <c r="B20" s="246" t="s">
        <v>919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74"/>
      <c r="M20" s="274"/>
      <c r="N20" s="274"/>
      <c r="O20" s="274">
        <v>180000000</v>
      </c>
      <c r="P20" s="274">
        <v>180000000</v>
      </c>
      <c r="Q20" s="274">
        <v>180000000</v>
      </c>
      <c r="R20" s="853">
        <v>180000000</v>
      </c>
      <c r="S20" s="274">
        <f t="shared" si="0"/>
        <v>0</v>
      </c>
    </row>
    <row r="21" spans="1:19" ht="24.95" customHeight="1">
      <c r="A21" s="392">
        <v>22132</v>
      </c>
      <c r="B21" s="246" t="s">
        <v>1077</v>
      </c>
      <c r="C21" s="280">
        <v>0</v>
      </c>
      <c r="D21" s="280">
        <f>SUM(D15:D18)</f>
        <v>4000000</v>
      </c>
      <c r="E21" s="280">
        <f>SUM(E15:E18)</f>
        <v>8000000</v>
      </c>
      <c r="F21" s="280">
        <f>SUM(F15:F18)</f>
        <v>20000000</v>
      </c>
      <c r="G21" s="280">
        <f>SUM(G15:G18)</f>
        <v>14896000</v>
      </c>
      <c r="H21" s="280">
        <f>SUM(H15:H18)</f>
        <v>27234400</v>
      </c>
      <c r="I21" s="246">
        <v>11172000</v>
      </c>
      <c r="J21" s="246">
        <v>0</v>
      </c>
      <c r="K21" s="246">
        <v>10000000</v>
      </c>
      <c r="L21" s="274">
        <v>339844800</v>
      </c>
      <c r="M21" s="274">
        <f>339844800*70%+130200000</f>
        <v>368091360</v>
      </c>
      <c r="N21" s="274">
        <v>0</v>
      </c>
      <c r="O21" s="274">
        <v>0</v>
      </c>
      <c r="P21" s="274">
        <v>100000000</v>
      </c>
      <c r="Q21" s="274">
        <v>200000000</v>
      </c>
      <c r="R21" s="853">
        <v>350000000</v>
      </c>
      <c r="S21" s="274">
        <f t="shared" si="0"/>
        <v>150000000</v>
      </c>
    </row>
    <row r="22" spans="1:19" ht="24.95" customHeight="1">
      <c r="A22" s="392">
        <v>22136</v>
      </c>
      <c r="B22" s="246" t="s">
        <v>586</v>
      </c>
      <c r="C22" s="280"/>
      <c r="D22" s="280"/>
      <c r="E22" s="280"/>
      <c r="F22" s="280"/>
      <c r="G22" s="280"/>
      <c r="H22" s="280"/>
      <c r="I22" s="246"/>
      <c r="J22" s="246"/>
      <c r="K22" s="246"/>
      <c r="L22" s="274"/>
      <c r="M22" s="274">
        <v>0</v>
      </c>
      <c r="N22" s="274">
        <v>420000000</v>
      </c>
      <c r="O22" s="274">
        <v>420000000</v>
      </c>
      <c r="P22" s="274">
        <v>520000000</v>
      </c>
      <c r="Q22" s="274">
        <v>520000000</v>
      </c>
      <c r="R22" s="853">
        <v>520000000</v>
      </c>
      <c r="S22" s="274">
        <f t="shared" si="0"/>
        <v>0</v>
      </c>
    </row>
    <row r="23" spans="1:19" ht="24.95" customHeight="1">
      <c r="A23" s="392">
        <v>22137</v>
      </c>
      <c r="B23" s="246" t="s">
        <v>373</v>
      </c>
      <c r="C23" s="280"/>
      <c r="D23" s="280"/>
      <c r="E23" s="280"/>
      <c r="F23" s="280"/>
      <c r="G23" s="280"/>
      <c r="H23" s="280"/>
      <c r="I23" s="246"/>
      <c r="J23" s="246"/>
      <c r="K23" s="246"/>
      <c r="L23" s="274">
        <v>11172000</v>
      </c>
      <c r="M23" s="274">
        <f>11172000*70%</f>
        <v>7820399.9999999991</v>
      </c>
      <c r="N23" s="274">
        <v>27820400</v>
      </c>
      <c r="O23" s="274">
        <v>27820400</v>
      </c>
      <c r="P23" s="274">
        <v>27820400</v>
      </c>
      <c r="Q23" s="274">
        <v>27820400</v>
      </c>
      <c r="R23" s="853">
        <v>27820400</v>
      </c>
      <c r="S23" s="274">
        <f t="shared" si="0"/>
        <v>0</v>
      </c>
    </row>
    <row r="24" spans="1:19" ht="24.95" customHeight="1">
      <c r="A24" s="392"/>
      <c r="B24" s="280" t="s">
        <v>92</v>
      </c>
      <c r="C24" s="246" t="s">
        <v>4</v>
      </c>
      <c r="D24" s="246"/>
      <c r="E24" s="246"/>
      <c r="F24" s="246"/>
      <c r="G24" s="246"/>
      <c r="H24" s="246"/>
      <c r="I24" s="246">
        <v>3724000</v>
      </c>
      <c r="J24" s="280">
        <f>SUM(J10:J21)</f>
        <v>0</v>
      </c>
      <c r="K24" s="280">
        <f>SUM(K12:K21)</f>
        <v>82000000</v>
      </c>
      <c r="L24" s="279">
        <f t="shared" ref="L24:P24" si="2">SUM(L12:L23)</f>
        <v>445606400</v>
      </c>
      <c r="M24" s="279">
        <f t="shared" si="2"/>
        <v>442124480</v>
      </c>
      <c r="N24" s="279">
        <f t="shared" si="2"/>
        <v>757443760</v>
      </c>
      <c r="O24" s="279">
        <f t="shared" si="2"/>
        <v>964537810</v>
      </c>
      <c r="P24" s="279">
        <f t="shared" si="2"/>
        <v>1269537810</v>
      </c>
      <c r="Q24" s="279">
        <f>SUM(Q12:Q23)</f>
        <v>1369537810</v>
      </c>
      <c r="R24" s="850">
        <f>SUM(R12:R23)</f>
        <v>1494409760</v>
      </c>
      <c r="S24" s="279">
        <f t="shared" si="0"/>
        <v>124871950</v>
      </c>
    </row>
    <row r="25" spans="1:19" ht="24.95" customHeight="1">
      <c r="A25" s="476">
        <v>220</v>
      </c>
      <c r="B25" s="280" t="s">
        <v>240</v>
      </c>
      <c r="C25" s="246">
        <v>0</v>
      </c>
      <c r="D25" s="246">
        <v>6000000</v>
      </c>
      <c r="E25" s="246">
        <v>7200000</v>
      </c>
      <c r="F25" s="246">
        <v>10000000</v>
      </c>
      <c r="G25" s="246">
        <v>11172000</v>
      </c>
      <c r="H25" s="246">
        <v>11172000</v>
      </c>
      <c r="I25" s="280">
        <f>SUM(I18:I24)</f>
        <v>14896000</v>
      </c>
      <c r="J25" s="280"/>
      <c r="K25" s="280"/>
      <c r="L25" s="274"/>
      <c r="M25" s="274"/>
      <c r="N25" s="274"/>
      <c r="O25" s="274"/>
      <c r="P25" s="274"/>
      <c r="Q25" s="274"/>
      <c r="R25" s="853"/>
      <c r="S25" s="274">
        <f t="shared" si="0"/>
        <v>0</v>
      </c>
    </row>
    <row r="26" spans="1:19" ht="24.95" customHeight="1">
      <c r="A26" s="392">
        <v>22201</v>
      </c>
      <c r="B26" s="246" t="s">
        <v>374</v>
      </c>
      <c r="C26" s="246"/>
      <c r="D26" s="246"/>
      <c r="E26" s="246"/>
      <c r="F26" s="246"/>
      <c r="G26" s="246"/>
      <c r="H26" s="246"/>
      <c r="I26" s="280"/>
      <c r="J26" s="280"/>
      <c r="K26" s="280"/>
      <c r="L26" s="274">
        <v>44688000</v>
      </c>
      <c r="M26" s="274">
        <f>44688000*70%</f>
        <v>31281599.999999996</v>
      </c>
      <c r="N26" s="274">
        <f>44688000*70%</f>
        <v>31281599.999999996</v>
      </c>
      <c r="O26" s="274">
        <f>44688000*70%</f>
        <v>31281599.999999996</v>
      </c>
      <c r="P26" s="274">
        <v>131281600</v>
      </c>
      <c r="Q26" s="274">
        <v>131281600</v>
      </c>
      <c r="R26" s="853">
        <v>200000000</v>
      </c>
      <c r="S26" s="274">
        <f t="shared" si="0"/>
        <v>68718400</v>
      </c>
    </row>
    <row r="27" spans="1:19" ht="24.95" customHeight="1">
      <c r="A27" s="392">
        <v>22202</v>
      </c>
      <c r="B27" s="246" t="s">
        <v>133</v>
      </c>
      <c r="C27" s="246">
        <v>0</v>
      </c>
      <c r="D27" s="246">
        <v>17000000</v>
      </c>
      <c r="E27" s="246">
        <v>9734400</v>
      </c>
      <c r="F27" s="246">
        <v>20000000</v>
      </c>
      <c r="G27" s="246">
        <v>18620000</v>
      </c>
      <c r="H27" s="246">
        <v>30000000</v>
      </c>
      <c r="I27" s="246"/>
      <c r="J27" s="246">
        <v>0</v>
      </c>
      <c r="K27" s="246">
        <v>150000000</v>
      </c>
      <c r="L27" s="274">
        <v>187340000</v>
      </c>
      <c r="M27" s="274">
        <f>187340000*70%</f>
        <v>131137999.99999999</v>
      </c>
      <c r="N27" s="274">
        <v>261138000</v>
      </c>
      <c r="O27" s="274">
        <v>261138000</v>
      </c>
      <c r="P27" s="274">
        <v>261138000</v>
      </c>
      <c r="Q27" s="274">
        <v>261138000</v>
      </c>
      <c r="R27" s="853">
        <v>300000000</v>
      </c>
      <c r="S27" s="274">
        <f t="shared" si="0"/>
        <v>38862000</v>
      </c>
    </row>
    <row r="28" spans="1:19" ht="24.95" customHeight="1">
      <c r="A28" s="392">
        <v>22203</v>
      </c>
      <c r="B28" s="246" t="s">
        <v>127</v>
      </c>
      <c r="C28" s="246">
        <v>0</v>
      </c>
      <c r="D28" s="246">
        <v>0</v>
      </c>
      <c r="E28" s="246">
        <v>14592000</v>
      </c>
      <c r="F28" s="246">
        <v>0</v>
      </c>
      <c r="G28" s="246">
        <v>0</v>
      </c>
      <c r="H28" s="246">
        <v>10000000</v>
      </c>
      <c r="I28" s="246">
        <v>0</v>
      </c>
      <c r="J28" s="246">
        <v>0</v>
      </c>
      <c r="K28" s="246">
        <v>18000000</v>
      </c>
      <c r="L28" s="274">
        <v>14896000</v>
      </c>
      <c r="M28" s="274">
        <f>14896000*70%</f>
        <v>10427200</v>
      </c>
      <c r="N28" s="274">
        <f>14896000*70%</f>
        <v>10427200</v>
      </c>
      <c r="O28" s="274">
        <f>14896000*70%</f>
        <v>10427200</v>
      </c>
      <c r="P28" s="274">
        <v>30427200</v>
      </c>
      <c r="Q28" s="274">
        <v>30427200</v>
      </c>
      <c r="R28" s="853">
        <v>30427200</v>
      </c>
      <c r="S28" s="274">
        <f t="shared" si="0"/>
        <v>0</v>
      </c>
    </row>
    <row r="29" spans="1:19" ht="24.95" customHeight="1">
      <c r="A29" s="392">
        <v>22204</v>
      </c>
      <c r="B29" s="246" t="s">
        <v>128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3000000</v>
      </c>
      <c r="L29" s="274">
        <v>5213600</v>
      </c>
      <c r="M29" s="274">
        <f>5213600*70%</f>
        <v>3649520</v>
      </c>
      <c r="N29" s="274">
        <f>5213600*70%</f>
        <v>3649520</v>
      </c>
      <c r="O29" s="274">
        <f>5213600*70%</f>
        <v>3649520</v>
      </c>
      <c r="P29" s="274">
        <v>8649520</v>
      </c>
      <c r="Q29" s="274">
        <v>8649520</v>
      </c>
      <c r="R29" s="853">
        <v>8649520</v>
      </c>
      <c r="S29" s="274">
        <f t="shared" si="0"/>
        <v>0</v>
      </c>
    </row>
    <row r="30" spans="1:19" ht="24.95" customHeight="1">
      <c r="A30" s="392"/>
      <c r="B30" s="280" t="s">
        <v>92</v>
      </c>
      <c r="C30" s="246">
        <v>0</v>
      </c>
      <c r="D30" s="246">
        <v>0</v>
      </c>
      <c r="E30" s="246"/>
      <c r="F30" s="246">
        <v>0</v>
      </c>
      <c r="G30" s="246">
        <v>0</v>
      </c>
      <c r="H30" s="246">
        <v>0</v>
      </c>
      <c r="I30" s="246">
        <v>4468800</v>
      </c>
      <c r="J30" s="280">
        <v>0</v>
      </c>
      <c r="K30" s="280">
        <f>SUM(K27:K29)</f>
        <v>171000000</v>
      </c>
      <c r="L30" s="279">
        <f t="shared" ref="L30:P30" si="3">SUM(L26:L29)</f>
        <v>252137600</v>
      </c>
      <c r="M30" s="279">
        <f t="shared" si="3"/>
        <v>176496319.99999997</v>
      </c>
      <c r="N30" s="279">
        <f t="shared" si="3"/>
        <v>306496320</v>
      </c>
      <c r="O30" s="279">
        <f t="shared" si="3"/>
        <v>306496320</v>
      </c>
      <c r="P30" s="279">
        <f t="shared" si="3"/>
        <v>431496320</v>
      </c>
      <c r="Q30" s="279">
        <f>SUM(Q26:Q29)</f>
        <v>431496320</v>
      </c>
      <c r="R30" s="850">
        <f>SUM(R26:R29)</f>
        <v>539076720</v>
      </c>
      <c r="S30" s="279">
        <f t="shared" si="0"/>
        <v>107580400</v>
      </c>
    </row>
    <row r="31" spans="1:19" ht="24.95" customHeight="1">
      <c r="A31" s="476">
        <v>2230</v>
      </c>
      <c r="B31" s="280" t="s">
        <v>130</v>
      </c>
      <c r="C31" s="246">
        <v>0</v>
      </c>
      <c r="D31" s="246">
        <v>0</v>
      </c>
      <c r="E31" s="246"/>
      <c r="F31" s="246">
        <v>0</v>
      </c>
      <c r="G31" s="246">
        <v>0</v>
      </c>
      <c r="H31" s="246">
        <v>0</v>
      </c>
      <c r="I31" s="280">
        <f>SUM(I28:I30)</f>
        <v>4468800</v>
      </c>
      <c r="J31" s="280"/>
      <c r="K31" s="280"/>
      <c r="L31" s="274"/>
      <c r="M31" s="274"/>
      <c r="N31" s="274"/>
      <c r="O31" s="274"/>
      <c r="P31" s="274"/>
      <c r="Q31" s="274"/>
      <c r="R31" s="853"/>
      <c r="S31" s="274">
        <f t="shared" si="0"/>
        <v>0</v>
      </c>
    </row>
    <row r="32" spans="1:19" ht="24.95" customHeight="1">
      <c r="A32" s="392">
        <v>22301</v>
      </c>
      <c r="B32" s="246" t="s">
        <v>49</v>
      </c>
      <c r="C32" s="246">
        <v>0</v>
      </c>
      <c r="D32" s="246">
        <v>0</v>
      </c>
      <c r="E32" s="246"/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15000000</v>
      </c>
      <c r="L32" s="274">
        <v>17875200</v>
      </c>
      <c r="M32" s="274">
        <f>17875200*70%</f>
        <v>12512640</v>
      </c>
      <c r="N32" s="274">
        <v>47512640</v>
      </c>
      <c r="O32" s="274">
        <v>47512640</v>
      </c>
      <c r="P32" s="274">
        <v>47512640</v>
      </c>
      <c r="Q32" s="274">
        <v>47512640</v>
      </c>
      <c r="R32" s="853">
        <v>94000000</v>
      </c>
      <c r="S32" s="274">
        <f t="shared" si="0"/>
        <v>46487360</v>
      </c>
    </row>
    <row r="33" spans="1:19" ht="24.95" customHeight="1">
      <c r="A33" s="392">
        <v>22313</v>
      </c>
      <c r="B33" s="246" t="s">
        <v>1365</v>
      </c>
      <c r="C33" s="246">
        <v>0</v>
      </c>
      <c r="D33" s="246">
        <v>0</v>
      </c>
      <c r="E33" s="246">
        <v>28000000</v>
      </c>
      <c r="F33" s="246">
        <v>40000000</v>
      </c>
      <c r="G33" s="246">
        <v>37240000</v>
      </c>
      <c r="H33" s="246">
        <v>75000000</v>
      </c>
      <c r="I33" s="246">
        <v>0</v>
      </c>
      <c r="J33" s="246">
        <v>0</v>
      </c>
      <c r="K33" s="246">
        <v>0</v>
      </c>
      <c r="L33" s="274">
        <v>2234400</v>
      </c>
      <c r="M33" s="274">
        <v>2234400</v>
      </c>
      <c r="N33" s="274">
        <v>2234400</v>
      </c>
      <c r="O33" s="274">
        <v>2234400</v>
      </c>
      <c r="P33" s="274">
        <v>2234400</v>
      </c>
      <c r="Q33" s="274">
        <v>2234400</v>
      </c>
      <c r="R33" s="853">
        <v>97460000</v>
      </c>
      <c r="S33" s="274">
        <f t="shared" si="0"/>
        <v>95225600</v>
      </c>
    </row>
    <row r="34" spans="1:19" ht="24.95" customHeight="1">
      <c r="A34" s="392"/>
      <c r="B34" s="280" t="s">
        <v>92</v>
      </c>
      <c r="C34" s="246"/>
      <c r="D34" s="246"/>
      <c r="E34" s="246"/>
      <c r="F34" s="246">
        <v>0</v>
      </c>
      <c r="G34" s="246">
        <v>0</v>
      </c>
      <c r="H34" s="246">
        <v>0</v>
      </c>
      <c r="I34" s="280">
        <f>SUM(I32:I33)</f>
        <v>0</v>
      </c>
      <c r="J34" s="280">
        <v>0</v>
      </c>
      <c r="K34" s="280">
        <f t="shared" ref="K34:O34" si="4">SUM(K32:K33)</f>
        <v>15000000</v>
      </c>
      <c r="L34" s="279">
        <f t="shared" si="4"/>
        <v>20109600</v>
      </c>
      <c r="M34" s="279">
        <f t="shared" si="4"/>
        <v>14747040</v>
      </c>
      <c r="N34" s="279">
        <f t="shared" si="4"/>
        <v>49747040</v>
      </c>
      <c r="O34" s="279">
        <f t="shared" si="4"/>
        <v>49747040</v>
      </c>
      <c r="P34" s="279">
        <f>SUM(P32:P33)</f>
        <v>49747040</v>
      </c>
      <c r="Q34" s="279">
        <f>SUM(Q32:Q33)</f>
        <v>49747040</v>
      </c>
      <c r="R34" s="850">
        <f>SUM(R32:R33)</f>
        <v>191460000</v>
      </c>
      <c r="S34" s="279">
        <f t="shared" si="0"/>
        <v>141712960</v>
      </c>
    </row>
    <row r="35" spans="1:19" ht="24.95" customHeight="1">
      <c r="A35" s="476">
        <v>270</v>
      </c>
      <c r="B35" s="280" t="s">
        <v>253</v>
      </c>
      <c r="C35" s="280">
        <v>0</v>
      </c>
      <c r="D35" s="280">
        <f>SUM(D25:D33)</f>
        <v>23000000</v>
      </c>
      <c r="E35" s="280">
        <f>SUM(E25:E33)</f>
        <v>59526400</v>
      </c>
      <c r="F35" s="280">
        <f>SUM(F25:F34)</f>
        <v>70000000</v>
      </c>
      <c r="G35" s="280">
        <f>SUM(G25:G34)</f>
        <v>67032000</v>
      </c>
      <c r="H35" s="280">
        <f>SUM(H25:H34)</f>
        <v>126172000</v>
      </c>
      <c r="I35" s="280" t="e">
        <f>I34+I31+I25+I15+#REF!</f>
        <v>#REF!</v>
      </c>
      <c r="J35" s="280"/>
      <c r="K35" s="280"/>
      <c r="L35" s="274"/>
      <c r="M35" s="274"/>
      <c r="N35" s="274"/>
      <c r="O35" s="274"/>
      <c r="P35" s="274"/>
      <c r="Q35" s="274"/>
      <c r="R35" s="853"/>
      <c r="S35" s="274">
        <f t="shared" si="0"/>
        <v>0</v>
      </c>
    </row>
    <row r="36" spans="1:19" ht="24.95" customHeight="1">
      <c r="A36" s="476">
        <v>2710</v>
      </c>
      <c r="B36" s="280" t="s">
        <v>252</v>
      </c>
      <c r="C36" s="246"/>
      <c r="D36" s="246">
        <v>0</v>
      </c>
      <c r="E36" s="246"/>
      <c r="F36" s="246"/>
      <c r="G36" s="246"/>
      <c r="H36" s="246"/>
      <c r="I36" s="246"/>
      <c r="J36" s="305"/>
      <c r="K36" s="305"/>
      <c r="L36" s="274"/>
      <c r="M36" s="274"/>
      <c r="N36" s="274"/>
      <c r="O36" s="274"/>
      <c r="P36" s="274"/>
      <c r="Q36" s="274"/>
      <c r="R36" s="853"/>
      <c r="S36" s="274">
        <f t="shared" si="0"/>
        <v>0</v>
      </c>
    </row>
    <row r="37" spans="1:19" ht="24.95" customHeight="1">
      <c r="A37" s="392">
        <v>27601</v>
      </c>
      <c r="B37" s="646" t="s">
        <v>896</v>
      </c>
      <c r="C37" s="246"/>
      <c r="D37" s="246"/>
      <c r="E37" s="246"/>
      <c r="F37" s="246"/>
      <c r="G37" s="246"/>
      <c r="H37" s="246"/>
      <c r="I37" s="246"/>
      <c r="J37" s="305"/>
      <c r="K37" s="305"/>
      <c r="L37" s="274"/>
      <c r="M37" s="274"/>
      <c r="N37" s="274">
        <v>0</v>
      </c>
      <c r="O37" s="274">
        <v>170000000</v>
      </c>
      <c r="P37" s="274">
        <v>15000000</v>
      </c>
      <c r="Q37" s="274">
        <v>15000000</v>
      </c>
      <c r="R37" s="853">
        <v>50000000</v>
      </c>
      <c r="S37" s="274">
        <f t="shared" si="0"/>
        <v>35000000</v>
      </c>
    </row>
    <row r="38" spans="1:19" ht="24.95" customHeight="1">
      <c r="A38" s="392">
        <v>27402</v>
      </c>
      <c r="B38" s="246" t="s">
        <v>1185</v>
      </c>
      <c r="C38" s="246"/>
      <c r="D38" s="246"/>
      <c r="E38" s="246"/>
      <c r="F38" s="246"/>
      <c r="G38" s="246"/>
      <c r="H38" s="246"/>
      <c r="I38" s="246"/>
      <c r="J38" s="305"/>
      <c r="K38" s="305"/>
      <c r="L38" s="274">
        <v>0</v>
      </c>
      <c r="M38" s="274">
        <f>108000000*70%</f>
        <v>75600000</v>
      </c>
      <c r="N38" s="274">
        <v>0</v>
      </c>
      <c r="O38" s="274">
        <v>42000000</v>
      </c>
      <c r="P38" s="274">
        <v>0</v>
      </c>
      <c r="Q38" s="274">
        <v>300000000</v>
      </c>
      <c r="R38" s="853">
        <v>150000000</v>
      </c>
      <c r="S38" s="274">
        <f t="shared" si="0"/>
        <v>-150000000</v>
      </c>
    </row>
    <row r="39" spans="1:19" ht="24.95" customHeight="1">
      <c r="A39" s="392">
        <v>27502</v>
      </c>
      <c r="B39" s="246" t="s">
        <v>148</v>
      </c>
      <c r="C39" s="292"/>
      <c r="D39" s="292"/>
      <c r="E39" s="292"/>
      <c r="F39" s="292"/>
      <c r="G39" s="292"/>
      <c r="H39" s="292"/>
      <c r="I39" s="292"/>
      <c r="J39" s="246">
        <v>0</v>
      </c>
      <c r="K39" s="290">
        <v>2000000</v>
      </c>
      <c r="L39" s="274">
        <v>2979200</v>
      </c>
      <c r="M39" s="274">
        <f>2979200*70%</f>
        <v>2085439.9999999998</v>
      </c>
      <c r="N39" s="274">
        <v>0</v>
      </c>
      <c r="O39" s="274">
        <v>0</v>
      </c>
      <c r="P39" s="274">
        <v>0</v>
      </c>
      <c r="Q39" s="274">
        <v>0</v>
      </c>
      <c r="R39" s="853">
        <v>0</v>
      </c>
      <c r="S39" s="274">
        <f t="shared" si="0"/>
        <v>0</v>
      </c>
    </row>
    <row r="40" spans="1:19" ht="24.95" customHeight="1">
      <c r="A40" s="392">
        <v>27604</v>
      </c>
      <c r="B40" s="246" t="s">
        <v>149</v>
      </c>
      <c r="C40" s="292"/>
      <c r="D40" s="292"/>
      <c r="E40" s="292"/>
      <c r="F40" s="292"/>
      <c r="G40" s="292"/>
      <c r="H40" s="292"/>
      <c r="I40" s="292"/>
      <c r="J40" s="246">
        <v>0</v>
      </c>
      <c r="K40" s="290">
        <v>3000000</v>
      </c>
      <c r="L40" s="274">
        <v>0</v>
      </c>
      <c r="M40" s="274">
        <v>0</v>
      </c>
      <c r="N40" s="274">
        <v>0</v>
      </c>
      <c r="O40" s="274">
        <v>0</v>
      </c>
      <c r="P40" s="274">
        <v>0</v>
      </c>
      <c r="Q40" s="274">
        <v>0</v>
      </c>
      <c r="R40" s="853">
        <v>0</v>
      </c>
      <c r="S40" s="274">
        <f t="shared" si="0"/>
        <v>0</v>
      </c>
    </row>
    <row r="41" spans="1:19" ht="24.95" customHeight="1">
      <c r="A41" s="392">
        <v>27608</v>
      </c>
      <c r="B41" s="246" t="s">
        <v>1428</v>
      </c>
      <c r="C41" s="292"/>
      <c r="D41" s="292"/>
      <c r="E41" s="292"/>
      <c r="F41" s="292"/>
      <c r="G41" s="292"/>
      <c r="H41" s="292"/>
      <c r="I41" s="292"/>
      <c r="J41" s="246"/>
      <c r="K41" s="290"/>
      <c r="L41" s="274"/>
      <c r="M41" s="274"/>
      <c r="N41" s="274">
        <v>0</v>
      </c>
      <c r="O41" s="274">
        <v>600000000</v>
      </c>
      <c r="P41" s="274">
        <v>900000000</v>
      </c>
      <c r="Q41" s="274">
        <v>1776000000</v>
      </c>
      <c r="R41" s="853">
        <v>1500000000</v>
      </c>
      <c r="S41" s="274">
        <f t="shared" si="0"/>
        <v>-276000000</v>
      </c>
    </row>
    <row r="42" spans="1:19" ht="24.95" customHeight="1">
      <c r="A42" s="392"/>
      <c r="B42" s="280" t="s">
        <v>92</v>
      </c>
      <c r="C42" s="292"/>
      <c r="D42" s="292"/>
      <c r="E42" s="292"/>
      <c r="F42" s="292"/>
      <c r="G42" s="292"/>
      <c r="H42" s="292"/>
      <c r="I42" s="292"/>
      <c r="J42" s="280">
        <v>0</v>
      </c>
      <c r="K42" s="291">
        <f>SUM(K39:K40)</f>
        <v>5000000</v>
      </c>
      <c r="L42" s="279">
        <f>SUM(L39:L40)</f>
        <v>2979200</v>
      </c>
      <c r="M42" s="279">
        <f>SUM(M38:M40)</f>
        <v>77685440</v>
      </c>
      <c r="N42" s="279">
        <f>SUM(N38:N40)</f>
        <v>0</v>
      </c>
      <c r="O42" s="279">
        <f>SUM(O37:O41)</f>
        <v>812000000</v>
      </c>
      <c r="P42" s="279">
        <f>SUM(P37:P41)</f>
        <v>915000000</v>
      </c>
      <c r="Q42" s="279">
        <f>SUM(Q37:Q41)</f>
        <v>2091000000</v>
      </c>
      <c r="R42" s="850">
        <f>SUM(R37:R41)</f>
        <v>1700000000</v>
      </c>
      <c r="S42" s="279">
        <f t="shared" si="0"/>
        <v>-391000000</v>
      </c>
    </row>
    <row r="43" spans="1:19" s="493" customFormat="1" ht="24.95" customHeight="1">
      <c r="A43" s="476">
        <v>2720</v>
      </c>
      <c r="B43" s="280" t="s">
        <v>902</v>
      </c>
      <c r="C43" s="478"/>
      <c r="D43" s="478"/>
      <c r="E43" s="478"/>
      <c r="F43" s="478"/>
      <c r="G43" s="478"/>
      <c r="H43" s="478"/>
      <c r="I43" s="478"/>
      <c r="J43" s="280"/>
      <c r="K43" s="291"/>
      <c r="L43" s="279"/>
      <c r="M43" s="279"/>
      <c r="N43" s="279"/>
      <c r="O43" s="279"/>
      <c r="P43" s="279"/>
      <c r="Q43" s="279"/>
      <c r="R43" s="850"/>
      <c r="S43" s="274">
        <f t="shared" si="0"/>
        <v>0</v>
      </c>
    </row>
    <row r="44" spans="1:19" ht="24.95" customHeight="1">
      <c r="A44" s="392">
        <v>27202</v>
      </c>
      <c r="B44" s="246" t="s">
        <v>1186</v>
      </c>
      <c r="C44" s="292"/>
      <c r="D44" s="292"/>
      <c r="E44" s="292"/>
      <c r="F44" s="292"/>
      <c r="G44" s="292"/>
      <c r="H44" s="292"/>
      <c r="I44" s="292"/>
      <c r="J44" s="280"/>
      <c r="K44" s="291"/>
      <c r="L44" s="279"/>
      <c r="M44" s="279"/>
      <c r="N44" s="279">
        <v>0</v>
      </c>
      <c r="O44" s="274">
        <v>1455000000</v>
      </c>
      <c r="P44" s="274">
        <v>600000000</v>
      </c>
      <c r="Q44" s="274">
        <v>350000000</v>
      </c>
      <c r="R44" s="853">
        <v>1500000000</v>
      </c>
      <c r="S44" s="274">
        <f t="shared" si="0"/>
        <v>1150000000</v>
      </c>
    </row>
    <row r="45" spans="1:19" ht="24.95" customHeight="1">
      <c r="A45" s="392"/>
      <c r="B45" s="280" t="s">
        <v>92</v>
      </c>
      <c r="C45" s="292"/>
      <c r="D45" s="292"/>
      <c r="E45" s="292"/>
      <c r="F45" s="292"/>
      <c r="G45" s="292"/>
      <c r="H45" s="292"/>
      <c r="I45" s="292"/>
      <c r="J45" s="280"/>
      <c r="K45" s="291"/>
      <c r="L45" s="279"/>
      <c r="M45" s="279"/>
      <c r="N45" s="279"/>
      <c r="O45" s="279">
        <f>SUM(O44)</f>
        <v>1455000000</v>
      </c>
      <c r="P45" s="279">
        <f>SUM(P44)</f>
        <v>600000000</v>
      </c>
      <c r="Q45" s="279">
        <f>SUM(Q44)</f>
        <v>350000000</v>
      </c>
      <c r="R45" s="850">
        <f>SUM(R44)</f>
        <v>1500000000</v>
      </c>
      <c r="S45" s="279">
        <f t="shared" si="0"/>
        <v>1150000000</v>
      </c>
    </row>
    <row r="46" spans="1:19" ht="24.95" customHeight="1">
      <c r="A46" s="392">
        <v>2810</v>
      </c>
      <c r="B46" s="280" t="s">
        <v>1373</v>
      </c>
      <c r="C46" s="292"/>
      <c r="D46" s="292"/>
      <c r="E46" s="292"/>
      <c r="F46" s="292"/>
      <c r="G46" s="292"/>
      <c r="H46" s="292"/>
      <c r="I46" s="292"/>
      <c r="J46" s="280"/>
      <c r="K46" s="291"/>
      <c r="L46" s="279"/>
      <c r="M46" s="279"/>
      <c r="N46" s="279"/>
      <c r="O46" s="279"/>
      <c r="P46" s="279"/>
      <c r="Q46" s="279"/>
      <c r="R46" s="850"/>
      <c r="S46" s="279">
        <f t="shared" si="0"/>
        <v>0</v>
      </c>
    </row>
    <row r="47" spans="1:19" ht="24.95" customHeight="1">
      <c r="A47" s="392">
        <v>28101</v>
      </c>
      <c r="B47" s="246" t="s">
        <v>1418</v>
      </c>
      <c r="C47" s="292"/>
      <c r="D47" s="292"/>
      <c r="E47" s="292"/>
      <c r="F47" s="292"/>
      <c r="G47" s="292"/>
      <c r="H47" s="292"/>
      <c r="I47" s="292"/>
      <c r="J47" s="280"/>
      <c r="K47" s="291"/>
      <c r="L47" s="279"/>
      <c r="M47" s="279"/>
      <c r="N47" s="279"/>
      <c r="O47" s="279"/>
      <c r="P47" s="279"/>
      <c r="Q47" s="279">
        <v>0</v>
      </c>
      <c r="R47" s="853">
        <v>611724000</v>
      </c>
      <c r="S47" s="274">
        <f t="shared" si="0"/>
        <v>611724000</v>
      </c>
    </row>
    <row r="48" spans="1:19" ht="30.75" customHeight="1">
      <c r="A48" s="392"/>
      <c r="B48" s="280" t="s">
        <v>92</v>
      </c>
      <c r="C48" s="292"/>
      <c r="D48" s="292"/>
      <c r="E48" s="292"/>
      <c r="F48" s="292"/>
      <c r="G48" s="292"/>
      <c r="H48" s="292"/>
      <c r="I48" s="292"/>
      <c r="J48" s="280"/>
      <c r="K48" s="291"/>
      <c r="L48" s="279"/>
      <c r="M48" s="279"/>
      <c r="N48" s="279"/>
      <c r="O48" s="279"/>
      <c r="P48" s="279"/>
      <c r="Q48" s="279"/>
      <c r="R48" s="850">
        <f>SUM(R47)</f>
        <v>611724000</v>
      </c>
      <c r="S48" s="279">
        <f t="shared" si="0"/>
        <v>611724000</v>
      </c>
    </row>
    <row r="49" spans="1:19" ht="40.5" customHeight="1">
      <c r="A49" s="392"/>
      <c r="B49" s="280" t="s">
        <v>37</v>
      </c>
      <c r="C49" s="292"/>
      <c r="D49" s="292"/>
      <c r="E49" s="292"/>
      <c r="F49" s="292"/>
      <c r="G49" s="292"/>
      <c r="H49" s="292"/>
      <c r="I49" s="292"/>
      <c r="J49" s="280">
        <v>0</v>
      </c>
      <c r="K49" s="291">
        <f>K42+K34+K30+K24+K9</f>
        <v>345271200</v>
      </c>
      <c r="L49" s="279">
        <f>L42+L34+L30+L24+L9</f>
        <v>1588447471</v>
      </c>
      <c r="M49" s="279">
        <f>M42+M34+M30+M24+M9</f>
        <v>2249155680</v>
      </c>
      <c r="N49" s="279">
        <f>N42+N34+N30+N24+N9</f>
        <v>2715499920</v>
      </c>
      <c r="O49" s="279">
        <f>O42+O34+O30+O24+O9+O45</f>
        <v>5864483090</v>
      </c>
      <c r="P49" s="279">
        <f>P42+P34+P30+P24+P9+P45</f>
        <v>5640725650</v>
      </c>
      <c r="Q49" s="279">
        <f>Q42+Q34+Q30+Q24+Q9+Q45</f>
        <v>6936538450</v>
      </c>
      <c r="R49" s="850">
        <f>R9+R24+R30+R34+R42+R45+R48</f>
        <v>9322482448</v>
      </c>
      <c r="S49" s="279">
        <f t="shared" si="0"/>
        <v>2385943998</v>
      </c>
    </row>
    <row r="51" spans="1:19" ht="24.95" customHeight="1">
      <c r="L51" s="560"/>
    </row>
  </sheetData>
  <pageMargins left="0.7" right="0.26" top="0.81" bottom="0.47" header="0.34" footer="0.17"/>
  <pageSetup scale="55" orientation="portrait" r:id="rId1"/>
  <headerFooter>
    <oddHeader xml:space="preserve">&amp;C&amp;"Algerian,Bold"&amp;26WASAARAdDA CIYAARAHA IYO DHALINYARADA </oddHeader>
    <oddFooter>&amp;R&amp;"Times New Roman,Bold"&amp;14 51</oddFooter>
  </headerFooter>
  <ignoredErrors>
    <ignoredError sqref="L42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9"/>
  <sheetViews>
    <sheetView view="pageBreakPreview" topLeftCell="A28" zoomScale="60" workbookViewId="0">
      <selection activeCell="S45" sqref="S45"/>
    </sheetView>
  </sheetViews>
  <sheetFormatPr defaultRowHeight="24.95" customHeight="1"/>
  <cols>
    <col min="1" max="1" width="18.1640625" style="568" bestFit="1" customWidth="1"/>
    <col min="2" max="2" width="73.83203125" style="627" customWidth="1"/>
    <col min="3" max="3" width="19.83203125" style="627" hidden="1" customWidth="1"/>
    <col min="4" max="4" width="0.33203125" style="627" hidden="1" customWidth="1"/>
    <col min="5" max="5" width="21" style="627" hidden="1" customWidth="1"/>
    <col min="6" max="6" width="24" style="627" hidden="1" customWidth="1"/>
    <col min="7" max="7" width="23.5" style="627" hidden="1" customWidth="1"/>
    <col min="8" max="8" width="23" style="627" hidden="1" customWidth="1"/>
    <col min="9" max="9" width="21.5" style="627" hidden="1" customWidth="1"/>
    <col min="10" max="10" width="24" style="627" hidden="1" customWidth="1"/>
    <col min="11" max="11" width="23" style="627" hidden="1" customWidth="1"/>
    <col min="12" max="12" width="21.5" style="627" hidden="1" customWidth="1"/>
    <col min="13" max="13" width="25.5" style="627" hidden="1" customWidth="1"/>
    <col min="14" max="14" width="23.5" style="627" hidden="1" customWidth="1"/>
    <col min="15" max="15" width="0.33203125" style="627" hidden="1" customWidth="1"/>
    <col min="16" max="16" width="27.6640625" style="627" hidden="1" customWidth="1"/>
    <col min="17" max="17" width="29.5" style="627" hidden="1" customWidth="1"/>
    <col min="18" max="19" width="28.5" style="627" customWidth="1"/>
    <col min="20" max="20" width="29.5" style="627" customWidth="1"/>
    <col min="21" max="21" width="7.1640625" style="627" bestFit="1" customWidth="1"/>
    <col min="22" max="22" width="14.5" style="627" customWidth="1"/>
    <col min="23" max="23" width="17.33203125" style="627" customWidth="1"/>
    <col min="24" max="16384" width="9.33203125" style="627"/>
  </cols>
  <sheetData>
    <row r="1" spans="1:20" ht="24.95" customHeight="1">
      <c r="A1" s="544" t="s">
        <v>39</v>
      </c>
      <c r="B1" s="545" t="s">
        <v>1022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ht="24.95" customHeight="1">
      <c r="A2" s="544" t="s">
        <v>25</v>
      </c>
      <c r="B2" s="545" t="s">
        <v>1</v>
      </c>
      <c r="C2" s="292" t="s">
        <v>44</v>
      </c>
      <c r="D2" s="597" t="s">
        <v>2</v>
      </c>
      <c r="E2" s="597" t="s">
        <v>43</v>
      </c>
      <c r="F2" s="597" t="s">
        <v>46</v>
      </c>
      <c r="G2" s="482" t="s">
        <v>55</v>
      </c>
      <c r="H2" s="482" t="s">
        <v>3</v>
      </c>
      <c r="I2" s="482" t="s">
        <v>62</v>
      </c>
      <c r="J2" s="482" t="s">
        <v>103</v>
      </c>
      <c r="K2" s="482" t="s">
        <v>109</v>
      </c>
      <c r="L2" s="482" t="s">
        <v>115</v>
      </c>
      <c r="M2" s="482" t="s">
        <v>151</v>
      </c>
      <c r="N2" s="482" t="s">
        <v>257</v>
      </c>
      <c r="O2" s="482" t="s">
        <v>814</v>
      </c>
      <c r="P2" s="482" t="s">
        <v>874</v>
      </c>
      <c r="Q2" s="482" t="s">
        <v>973</v>
      </c>
      <c r="R2" s="482" t="s">
        <v>1160</v>
      </c>
      <c r="S2" s="482" t="s">
        <v>1320</v>
      </c>
      <c r="T2" s="482" t="s">
        <v>56</v>
      </c>
    </row>
    <row r="3" spans="1:20" ht="24.95" customHeight="1">
      <c r="A3" s="476">
        <v>210</v>
      </c>
      <c r="B3" s="280" t="s">
        <v>137</v>
      </c>
      <c r="C3" s="478"/>
      <c r="D3" s="478"/>
      <c r="E3" s="478" t="s">
        <v>4</v>
      </c>
      <c r="F3" s="478" t="s">
        <v>4</v>
      </c>
      <c r="G3" s="478"/>
      <c r="H3" s="292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4" spans="1:20" ht="24.95" customHeight="1">
      <c r="A4" s="476">
        <v>2110</v>
      </c>
      <c r="B4" s="280" t="s">
        <v>213</v>
      </c>
      <c r="C4" s="478"/>
      <c r="D4" s="478"/>
      <c r="E4" s="478"/>
      <c r="F4" s="478"/>
      <c r="G4" s="478"/>
      <c r="H4" s="292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</row>
    <row r="5" spans="1:20" ht="24.95" customHeight="1">
      <c r="A5" s="392">
        <v>21101</v>
      </c>
      <c r="B5" s="292" t="s">
        <v>28</v>
      </c>
      <c r="C5" s="246">
        <v>80133480</v>
      </c>
      <c r="D5" s="246">
        <v>0</v>
      </c>
      <c r="E5" s="246">
        <v>21000000</v>
      </c>
      <c r="F5" s="246">
        <v>0</v>
      </c>
      <c r="G5" s="246">
        <v>0</v>
      </c>
      <c r="H5" s="274">
        <f>G5-F5</f>
        <v>0</v>
      </c>
      <c r="I5" s="246">
        <v>0</v>
      </c>
      <c r="J5" s="246">
        <v>0</v>
      </c>
      <c r="K5" s="246">
        <v>0</v>
      </c>
      <c r="L5" s="246">
        <v>0</v>
      </c>
      <c r="M5" s="246">
        <v>0</v>
      </c>
      <c r="N5" s="246">
        <v>0</v>
      </c>
      <c r="O5" s="246">
        <v>168604800</v>
      </c>
      <c r="P5" s="246">
        <v>343324800</v>
      </c>
      <c r="Q5" s="246">
        <v>343324800</v>
      </c>
      <c r="R5" s="246">
        <v>512366400</v>
      </c>
      <c r="S5" s="246">
        <v>669940128</v>
      </c>
      <c r="T5" s="246">
        <f>S5-R5</f>
        <v>157573728</v>
      </c>
    </row>
    <row r="6" spans="1:20" ht="24.95" customHeight="1">
      <c r="A6" s="392">
        <v>21102</v>
      </c>
      <c r="B6" s="292" t="s">
        <v>29</v>
      </c>
      <c r="C6" s="246">
        <v>7860520</v>
      </c>
      <c r="D6" s="246">
        <v>0</v>
      </c>
      <c r="E6" s="246">
        <v>0</v>
      </c>
      <c r="F6" s="246">
        <v>260025000</v>
      </c>
      <c r="G6" s="246">
        <v>260025000</v>
      </c>
      <c r="H6" s="274">
        <f t="shared" ref="H6:H41" si="0">G6-F6</f>
        <v>0</v>
      </c>
      <c r="I6" s="246">
        <v>260025000</v>
      </c>
      <c r="J6" s="246">
        <v>260025000</v>
      </c>
      <c r="K6" s="246">
        <f>260025000+9000000</f>
        <v>269025000</v>
      </c>
      <c r="L6" s="246">
        <v>269025000</v>
      </c>
      <c r="M6" s="246">
        <v>1126800000</v>
      </c>
      <c r="N6" s="246">
        <f>1126800000</f>
        <v>1126800000</v>
      </c>
      <c r="O6" s="246">
        <v>884533474</v>
      </c>
      <c r="P6" s="246">
        <v>1008000000</v>
      </c>
      <c r="Q6" s="246">
        <v>1008000000</v>
      </c>
      <c r="R6" s="246">
        <v>1008000000</v>
      </c>
      <c r="S6" s="246">
        <v>1008000000</v>
      </c>
      <c r="T6" s="246">
        <f t="shared" ref="T6:T45" si="1">S6-R6</f>
        <v>0</v>
      </c>
    </row>
    <row r="7" spans="1:20" ht="24.95" customHeight="1">
      <c r="A7" s="392">
        <v>21103</v>
      </c>
      <c r="B7" s="292" t="s">
        <v>114</v>
      </c>
      <c r="C7" s="246">
        <v>9300000</v>
      </c>
      <c r="D7" s="246">
        <v>0</v>
      </c>
      <c r="E7" s="246">
        <v>191625000</v>
      </c>
      <c r="F7" s="246">
        <v>0</v>
      </c>
      <c r="G7" s="246">
        <f>121200000+3600000</f>
        <v>124800000</v>
      </c>
      <c r="H7" s="274">
        <f t="shared" si="0"/>
        <v>124800000</v>
      </c>
      <c r="I7" s="246">
        <v>124800000</v>
      </c>
      <c r="J7" s="246">
        <v>124800000</v>
      </c>
      <c r="K7" s="246">
        <v>124800000</v>
      </c>
      <c r="L7" s="246">
        <v>124800000</v>
      </c>
      <c r="M7" s="246">
        <v>0</v>
      </c>
      <c r="N7" s="246">
        <v>10800000</v>
      </c>
      <c r="O7" s="246">
        <v>82800000</v>
      </c>
      <c r="P7" s="246">
        <v>234000000</v>
      </c>
      <c r="Q7" s="246">
        <v>234000000</v>
      </c>
      <c r="R7" s="282">
        <v>903000000</v>
      </c>
      <c r="S7" s="852">
        <v>975000000</v>
      </c>
      <c r="T7" s="246">
        <f t="shared" si="1"/>
        <v>72000000</v>
      </c>
    </row>
    <row r="8" spans="1:20" ht="24.95" customHeight="1">
      <c r="A8" s="392"/>
      <c r="B8" s="478" t="s">
        <v>5</v>
      </c>
      <c r="C8" s="246">
        <v>14211000</v>
      </c>
      <c r="D8" s="246">
        <v>0</v>
      </c>
      <c r="E8" s="246">
        <v>50680000</v>
      </c>
      <c r="F8" s="246">
        <v>50680000</v>
      </c>
      <c r="G8" s="246">
        <v>49344000</v>
      </c>
      <c r="H8" s="274">
        <f t="shared" si="0"/>
        <v>-1336000</v>
      </c>
      <c r="I8" s="246">
        <v>81000000</v>
      </c>
      <c r="J8" s="246">
        <v>81000000</v>
      </c>
      <c r="K8" s="246">
        <v>100000000</v>
      </c>
      <c r="L8" s="280">
        <f t="shared" ref="L8:P8" si="2">SUM(L5:L7)</f>
        <v>393825000</v>
      </c>
      <c r="M8" s="280">
        <f t="shared" si="2"/>
        <v>1126800000</v>
      </c>
      <c r="N8" s="280">
        <f t="shared" si="2"/>
        <v>1137600000</v>
      </c>
      <c r="O8" s="280">
        <f t="shared" si="2"/>
        <v>1135938274</v>
      </c>
      <c r="P8" s="280">
        <f t="shared" si="2"/>
        <v>1585324800</v>
      </c>
      <c r="Q8" s="280">
        <f>SUM(Q5:Q7)</f>
        <v>1585324800</v>
      </c>
      <c r="R8" s="280">
        <f>SUM(R5:R7)</f>
        <v>2423366400</v>
      </c>
      <c r="S8" s="851">
        <f>SUM(S5:S7)</f>
        <v>2652940128</v>
      </c>
      <c r="T8" s="280">
        <f t="shared" si="1"/>
        <v>229573728</v>
      </c>
    </row>
    <row r="9" spans="1:20" ht="24.95" customHeight="1">
      <c r="A9" s="476">
        <v>220</v>
      </c>
      <c r="B9" s="280" t="s">
        <v>225</v>
      </c>
      <c r="C9" s="246">
        <v>10500000</v>
      </c>
      <c r="D9" s="246"/>
      <c r="E9" s="246">
        <v>14690000</v>
      </c>
      <c r="F9" s="246">
        <v>14690000</v>
      </c>
      <c r="G9" s="246">
        <v>20000000</v>
      </c>
      <c r="H9" s="274">
        <f t="shared" si="0"/>
        <v>5310000</v>
      </c>
      <c r="I9" s="246">
        <v>20000000</v>
      </c>
      <c r="J9" s="246">
        <v>14896000</v>
      </c>
      <c r="K9" s="246">
        <v>20000000</v>
      </c>
      <c r="L9" s="246"/>
      <c r="M9" s="246"/>
      <c r="N9" s="246"/>
      <c r="O9" s="246"/>
      <c r="P9" s="246"/>
      <c r="Q9" s="246"/>
      <c r="R9" s="246"/>
      <c r="S9" s="840"/>
      <c r="T9" s="246">
        <f t="shared" si="1"/>
        <v>0</v>
      </c>
    </row>
    <row r="10" spans="1:20" ht="24.95" customHeight="1">
      <c r="A10" s="476">
        <v>2210</v>
      </c>
      <c r="B10" s="280" t="s">
        <v>226</v>
      </c>
      <c r="C10" s="246"/>
      <c r="D10" s="246"/>
      <c r="E10" s="246"/>
      <c r="F10" s="246"/>
      <c r="G10" s="246"/>
      <c r="H10" s="274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840"/>
      <c r="T10" s="246">
        <f t="shared" si="1"/>
        <v>0</v>
      </c>
    </row>
    <row r="11" spans="1:20" ht="24.95" customHeight="1">
      <c r="A11" s="392">
        <v>22101</v>
      </c>
      <c r="B11" s="292" t="s">
        <v>33</v>
      </c>
      <c r="C11" s="246">
        <v>4700000</v>
      </c>
      <c r="D11" s="246"/>
      <c r="E11" s="246">
        <v>0</v>
      </c>
      <c r="F11" s="246">
        <v>0</v>
      </c>
      <c r="G11" s="246">
        <v>7000000</v>
      </c>
      <c r="H11" s="274">
        <f t="shared" si="0"/>
        <v>7000000</v>
      </c>
      <c r="I11" s="246">
        <v>10000000</v>
      </c>
      <c r="J11" s="246">
        <v>7448000</v>
      </c>
      <c r="K11" s="246">
        <v>8500000</v>
      </c>
      <c r="L11" s="246">
        <v>35750400</v>
      </c>
      <c r="M11" s="246">
        <v>35750400</v>
      </c>
      <c r="N11" s="246">
        <f>35750400*70%</f>
        <v>25025280</v>
      </c>
      <c r="O11" s="246">
        <f>35750400*70%</f>
        <v>25025280</v>
      </c>
      <c r="P11" s="246">
        <f>35750400*70%</f>
        <v>25025280</v>
      </c>
      <c r="Q11" s="246">
        <f>35750400*70%</f>
        <v>25025280</v>
      </c>
      <c r="R11" s="246">
        <v>150025280</v>
      </c>
      <c r="S11" s="840">
        <v>250000000</v>
      </c>
      <c r="T11" s="246">
        <f t="shared" si="1"/>
        <v>99974720</v>
      </c>
    </row>
    <row r="12" spans="1:20" ht="24.95" customHeight="1">
      <c r="A12" s="392">
        <v>21102</v>
      </c>
      <c r="B12" s="292" t="s">
        <v>166</v>
      </c>
      <c r="C12" s="246"/>
      <c r="D12" s="246"/>
      <c r="E12" s="246"/>
      <c r="F12" s="246"/>
      <c r="G12" s="246">
        <v>0</v>
      </c>
      <c r="H12" s="274"/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840">
        <v>0</v>
      </c>
      <c r="T12" s="246">
        <f t="shared" si="1"/>
        <v>0</v>
      </c>
    </row>
    <row r="13" spans="1:20" s="647" customFormat="1" ht="24.95" customHeight="1">
      <c r="A13" s="392">
        <v>22103</v>
      </c>
      <c r="B13" s="292" t="s">
        <v>167</v>
      </c>
      <c r="C13" s="286">
        <f>SUM(C8:C11)</f>
        <v>29411000</v>
      </c>
      <c r="D13" s="286">
        <v>0</v>
      </c>
      <c r="E13" s="286">
        <f>SUM(E8:E11)</f>
        <v>65370000</v>
      </c>
      <c r="F13" s="286">
        <f>SUM(F8:F11)</f>
        <v>65370000</v>
      </c>
      <c r="G13" s="286">
        <f>SUM(G8:G12)</f>
        <v>76344000</v>
      </c>
      <c r="H13" s="274">
        <f t="shared" si="0"/>
        <v>10974000</v>
      </c>
      <c r="I13" s="286">
        <f>SUM(I8:I12)</f>
        <v>111000000</v>
      </c>
      <c r="J13" s="286">
        <f>SUM(J8:J12)</f>
        <v>103344000</v>
      </c>
      <c r="K13" s="286">
        <f>SUM(K8:K12)</f>
        <v>128500000</v>
      </c>
      <c r="L13" s="286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300000000</v>
      </c>
      <c r="S13" s="903">
        <v>600000000</v>
      </c>
      <c r="T13" s="246">
        <f t="shared" si="1"/>
        <v>300000000</v>
      </c>
    </row>
    <row r="14" spans="1:20" ht="24.95" customHeight="1">
      <c r="A14" s="392">
        <v>22104</v>
      </c>
      <c r="B14" s="292" t="s">
        <v>34</v>
      </c>
      <c r="C14" s="246"/>
      <c r="D14" s="246">
        <v>0</v>
      </c>
      <c r="E14" s="246">
        <f>D14-C14</f>
        <v>0</v>
      </c>
      <c r="F14" s="246">
        <f>E14-D14</f>
        <v>0</v>
      </c>
      <c r="G14" s="246"/>
      <c r="H14" s="274">
        <f t="shared" si="0"/>
        <v>0</v>
      </c>
      <c r="I14" s="246"/>
      <c r="J14" s="246"/>
      <c r="K14" s="246"/>
      <c r="L14" s="246">
        <v>14896000</v>
      </c>
      <c r="M14" s="246">
        <f>14896000+40462017</f>
        <v>55358017</v>
      </c>
      <c r="N14" s="246">
        <f>M14*70%</f>
        <v>38750611.899999999</v>
      </c>
      <c r="O14" s="246">
        <f>N14</f>
        <v>38750611.899999999</v>
      </c>
      <c r="P14" s="246">
        <v>48750612</v>
      </c>
      <c r="Q14" s="246">
        <v>48750612</v>
      </c>
      <c r="R14" s="246">
        <v>48750612</v>
      </c>
      <c r="S14" s="840">
        <v>48750612</v>
      </c>
      <c r="T14" s="246">
        <f t="shared" si="1"/>
        <v>0</v>
      </c>
    </row>
    <row r="15" spans="1:20" ht="24.95" customHeight="1">
      <c r="A15" s="392">
        <v>22105</v>
      </c>
      <c r="B15" s="292" t="s">
        <v>181</v>
      </c>
      <c r="C15" s="246"/>
      <c r="D15" s="246"/>
      <c r="E15" s="246"/>
      <c r="F15" s="246"/>
      <c r="G15" s="246"/>
      <c r="H15" s="274"/>
      <c r="I15" s="246"/>
      <c r="J15" s="246"/>
      <c r="K15" s="246"/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108000000</v>
      </c>
      <c r="S15" s="840">
        <v>108000000</v>
      </c>
      <c r="T15" s="246">
        <f t="shared" si="1"/>
        <v>0</v>
      </c>
    </row>
    <row r="16" spans="1:20" ht="24.95" customHeight="1">
      <c r="A16" s="392">
        <v>22106</v>
      </c>
      <c r="B16" s="292" t="s">
        <v>168</v>
      </c>
      <c r="C16" s="292"/>
      <c r="D16" s="246">
        <v>0</v>
      </c>
      <c r="E16" s="246">
        <v>75000000</v>
      </c>
      <c r="F16" s="246">
        <v>0</v>
      </c>
      <c r="G16" s="246">
        <v>0</v>
      </c>
      <c r="H16" s="274">
        <f t="shared" si="0"/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840">
        <v>0</v>
      </c>
      <c r="T16" s="246">
        <f t="shared" si="1"/>
        <v>0</v>
      </c>
    </row>
    <row r="17" spans="1:20" ht="24.95" customHeight="1">
      <c r="A17" s="392">
        <v>22107</v>
      </c>
      <c r="B17" s="292" t="s">
        <v>169</v>
      </c>
      <c r="C17" s="246"/>
      <c r="D17" s="246">
        <v>0</v>
      </c>
      <c r="E17" s="246">
        <v>0</v>
      </c>
      <c r="F17" s="246">
        <v>0</v>
      </c>
      <c r="G17" s="246">
        <v>0</v>
      </c>
      <c r="H17" s="274">
        <f t="shared" si="0"/>
        <v>0</v>
      </c>
      <c r="I17" s="246">
        <v>0</v>
      </c>
      <c r="J17" s="246">
        <v>0</v>
      </c>
      <c r="K17" s="246">
        <v>0</v>
      </c>
      <c r="L17" s="246">
        <v>7448000</v>
      </c>
      <c r="M17" s="246">
        <f>7448000+1772576</f>
        <v>9220576</v>
      </c>
      <c r="N17" s="246">
        <f>M17*70%</f>
        <v>6454403.1999999993</v>
      </c>
      <c r="O17" s="246">
        <v>4518082</v>
      </c>
      <c r="P17" s="246">
        <f t="shared" ref="P17:R18" si="3">O17</f>
        <v>4518082</v>
      </c>
      <c r="Q17" s="246">
        <f t="shared" si="3"/>
        <v>4518082</v>
      </c>
      <c r="R17" s="246">
        <f t="shared" si="3"/>
        <v>4518082</v>
      </c>
      <c r="S17" s="840">
        <v>85000000</v>
      </c>
      <c r="T17" s="246">
        <f t="shared" si="1"/>
        <v>80481918</v>
      </c>
    </row>
    <row r="18" spans="1:20" ht="24.95" customHeight="1">
      <c r="A18" s="392">
        <v>22108</v>
      </c>
      <c r="B18" s="292" t="s">
        <v>170</v>
      </c>
      <c r="C18" s="246"/>
      <c r="D18" s="246">
        <v>0</v>
      </c>
      <c r="E18" s="246">
        <v>80500000</v>
      </c>
      <c r="F18" s="246">
        <v>0</v>
      </c>
      <c r="G18" s="246">
        <v>87000000</v>
      </c>
      <c r="H18" s="274">
        <f t="shared" si="0"/>
        <v>87000000</v>
      </c>
      <c r="I18" s="246">
        <v>0</v>
      </c>
      <c r="J18" s="246">
        <v>0</v>
      </c>
      <c r="K18" s="246">
        <v>0</v>
      </c>
      <c r="L18" s="246">
        <v>0</v>
      </c>
      <c r="M18" s="246">
        <v>122640000</v>
      </c>
      <c r="N18" s="246">
        <f>122640000*70%</f>
        <v>85848000</v>
      </c>
      <c r="O18" s="246">
        <f>N18</f>
        <v>85848000</v>
      </c>
      <c r="P18" s="246">
        <f t="shared" si="3"/>
        <v>85848000</v>
      </c>
      <c r="Q18" s="246">
        <f t="shared" si="3"/>
        <v>85848000</v>
      </c>
      <c r="R18" s="246">
        <v>126000000</v>
      </c>
      <c r="S18" s="840">
        <v>126000000</v>
      </c>
      <c r="T18" s="246">
        <f t="shared" si="1"/>
        <v>0</v>
      </c>
    </row>
    <row r="19" spans="1:20" ht="24.95" customHeight="1">
      <c r="A19" s="392">
        <v>22109</v>
      </c>
      <c r="B19" s="292" t="s">
        <v>184</v>
      </c>
      <c r="C19" s="246">
        <v>0</v>
      </c>
      <c r="D19" s="246">
        <v>0</v>
      </c>
      <c r="E19" s="246">
        <v>0</v>
      </c>
      <c r="F19" s="246">
        <v>0</v>
      </c>
      <c r="G19" s="246">
        <v>5000000</v>
      </c>
      <c r="H19" s="274">
        <f t="shared" si="0"/>
        <v>5000000</v>
      </c>
      <c r="I19" s="246">
        <v>5000000</v>
      </c>
      <c r="J19" s="246">
        <v>3724000</v>
      </c>
      <c r="K19" s="246">
        <v>5000000</v>
      </c>
      <c r="L19" s="246">
        <v>7448000</v>
      </c>
      <c r="M19" s="246">
        <f>7448000+2552000</f>
        <v>10000000</v>
      </c>
      <c r="N19" s="246">
        <f t="shared" ref="N19:S19" si="4">10000000*70%</f>
        <v>7000000</v>
      </c>
      <c r="O19" s="246">
        <f t="shared" si="4"/>
        <v>7000000</v>
      </c>
      <c r="P19" s="246">
        <f t="shared" si="4"/>
        <v>7000000</v>
      </c>
      <c r="Q19" s="246">
        <f t="shared" si="4"/>
        <v>7000000</v>
      </c>
      <c r="R19" s="246">
        <f t="shared" si="4"/>
        <v>7000000</v>
      </c>
      <c r="S19" s="840">
        <f t="shared" si="4"/>
        <v>7000000</v>
      </c>
      <c r="T19" s="246">
        <f t="shared" si="1"/>
        <v>0</v>
      </c>
    </row>
    <row r="20" spans="1:20" ht="24.95" customHeight="1">
      <c r="A20" s="392">
        <v>22112</v>
      </c>
      <c r="B20" s="292" t="s">
        <v>35</v>
      </c>
      <c r="C20" s="246">
        <v>3750000</v>
      </c>
      <c r="D20" s="246">
        <v>0</v>
      </c>
      <c r="E20" s="246">
        <v>5000000</v>
      </c>
      <c r="F20" s="246">
        <v>5000000</v>
      </c>
      <c r="G20" s="246">
        <v>15000000</v>
      </c>
      <c r="H20" s="274">
        <f t="shared" si="0"/>
        <v>10000000</v>
      </c>
      <c r="I20" s="246">
        <v>15000000</v>
      </c>
      <c r="J20" s="246">
        <v>18620000</v>
      </c>
      <c r="K20" s="246">
        <v>30000000</v>
      </c>
      <c r="L20" s="246">
        <v>9682400</v>
      </c>
      <c r="M20" s="246">
        <f>7448000+9682400</f>
        <v>17130400</v>
      </c>
      <c r="N20" s="246">
        <f>M20*70%</f>
        <v>11991280</v>
      </c>
      <c r="O20" s="246">
        <v>51991280</v>
      </c>
      <c r="P20" s="246">
        <v>61991280</v>
      </c>
      <c r="Q20" s="246">
        <v>61991280</v>
      </c>
      <c r="R20" s="246">
        <v>61991280</v>
      </c>
      <c r="S20" s="840">
        <v>61991280</v>
      </c>
      <c r="T20" s="246">
        <f t="shared" si="1"/>
        <v>0</v>
      </c>
    </row>
    <row r="21" spans="1:20" ht="24.95" customHeight="1">
      <c r="A21" s="392">
        <v>22132</v>
      </c>
      <c r="B21" s="292" t="s">
        <v>36</v>
      </c>
      <c r="C21" s="246"/>
      <c r="D21" s="246">
        <v>0</v>
      </c>
      <c r="E21" s="246">
        <f>D21-C21</f>
        <v>0</v>
      </c>
      <c r="F21" s="246">
        <f>E21-D21</f>
        <v>0</v>
      </c>
      <c r="G21" s="246"/>
      <c r="H21" s="274">
        <f t="shared" si="0"/>
        <v>0</v>
      </c>
      <c r="I21" s="246"/>
      <c r="J21" s="246"/>
      <c r="K21" s="246"/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840">
        <v>0</v>
      </c>
      <c r="T21" s="246">
        <f t="shared" si="1"/>
        <v>0</v>
      </c>
    </row>
    <row r="22" spans="1:20" ht="24.95" customHeight="1">
      <c r="A22" s="392">
        <v>22137</v>
      </c>
      <c r="B22" s="292" t="s">
        <v>986</v>
      </c>
      <c r="C22" s="246"/>
      <c r="D22" s="246"/>
      <c r="E22" s="246"/>
      <c r="F22" s="246"/>
      <c r="G22" s="246"/>
      <c r="H22" s="274"/>
      <c r="I22" s="246"/>
      <c r="J22" s="246"/>
      <c r="K22" s="246"/>
      <c r="L22" s="246"/>
      <c r="M22" s="246"/>
      <c r="N22" s="246"/>
      <c r="O22" s="246"/>
      <c r="P22" s="246"/>
      <c r="Q22" s="246"/>
      <c r="R22" s="246">
        <v>48000000</v>
      </c>
      <c r="S22" s="840">
        <v>198000000</v>
      </c>
      <c r="T22" s="246">
        <f t="shared" si="1"/>
        <v>150000000</v>
      </c>
    </row>
    <row r="23" spans="1:20" ht="24.95" customHeight="1">
      <c r="A23" s="392">
        <v>22160</v>
      </c>
      <c r="B23" s="292" t="s">
        <v>1058</v>
      </c>
      <c r="C23" s="246"/>
      <c r="D23" s="246"/>
      <c r="E23" s="246"/>
      <c r="F23" s="246"/>
      <c r="G23" s="246"/>
      <c r="H23" s="274"/>
      <c r="I23" s="246"/>
      <c r="J23" s="246"/>
      <c r="K23" s="246"/>
      <c r="L23" s="246"/>
      <c r="M23" s="246"/>
      <c r="N23" s="246"/>
      <c r="O23" s="246"/>
      <c r="P23" s="246"/>
      <c r="Q23" s="246">
        <v>18000000000</v>
      </c>
      <c r="R23" s="246">
        <v>0</v>
      </c>
      <c r="S23" s="840">
        <v>0</v>
      </c>
      <c r="T23" s="246">
        <f t="shared" si="1"/>
        <v>0</v>
      </c>
    </row>
    <row r="24" spans="1:20" ht="24.95" customHeight="1">
      <c r="A24" s="392">
        <v>22172</v>
      </c>
      <c r="B24" s="292" t="s">
        <v>1093</v>
      </c>
      <c r="C24" s="246"/>
      <c r="D24" s="246"/>
      <c r="E24" s="246"/>
      <c r="F24" s="246"/>
      <c r="G24" s="246"/>
      <c r="H24" s="274"/>
      <c r="I24" s="246"/>
      <c r="J24" s="246"/>
      <c r="K24" s="246"/>
      <c r="L24" s="246"/>
      <c r="M24" s="246"/>
      <c r="N24" s="246"/>
      <c r="O24" s="246"/>
      <c r="P24" s="246"/>
      <c r="Q24" s="246">
        <v>18000000000</v>
      </c>
      <c r="R24" s="246">
        <v>0</v>
      </c>
      <c r="S24" s="840">
        <v>0</v>
      </c>
      <c r="T24" s="246">
        <f t="shared" si="1"/>
        <v>0</v>
      </c>
    </row>
    <row r="25" spans="1:20" ht="24.95" customHeight="1">
      <c r="A25" s="476"/>
      <c r="B25" s="478" t="s">
        <v>5</v>
      </c>
      <c r="C25" s="246">
        <v>12000000</v>
      </c>
      <c r="D25" s="246">
        <v>0</v>
      </c>
      <c r="E25" s="246">
        <v>48000000</v>
      </c>
      <c r="F25" s="246">
        <v>48000000</v>
      </c>
      <c r="G25" s="246">
        <v>48000000</v>
      </c>
      <c r="H25" s="274">
        <f t="shared" si="0"/>
        <v>0</v>
      </c>
      <c r="I25" s="246">
        <v>48000000</v>
      </c>
      <c r="J25" s="246">
        <v>35750400</v>
      </c>
      <c r="K25" s="246">
        <v>40000000</v>
      </c>
      <c r="L25" s="280">
        <f>SUM(L11:L21)</f>
        <v>75224800</v>
      </c>
      <c r="M25" s="280">
        <f>SUM(M11:M22)</f>
        <v>250099393</v>
      </c>
      <c r="N25" s="280">
        <f>SUM(N11:N22)</f>
        <v>175069575.09999999</v>
      </c>
      <c r="O25" s="280">
        <f>SUM(O11:O22)</f>
        <v>213133253.90000001</v>
      </c>
      <c r="P25" s="280">
        <f>SUM(P11:P22)</f>
        <v>233133254</v>
      </c>
      <c r="Q25" s="280">
        <f>SUM(Q11:Q24)</f>
        <v>36233133254</v>
      </c>
      <c r="R25" s="280">
        <f>SUM(R11:R24)</f>
        <v>854285254</v>
      </c>
      <c r="S25" s="851">
        <f>SUM(S11:S24)</f>
        <v>1484741892</v>
      </c>
      <c r="T25" s="280">
        <f t="shared" si="1"/>
        <v>630456638</v>
      </c>
    </row>
    <row r="26" spans="1:20" ht="24.95" customHeight="1">
      <c r="A26" s="476">
        <v>2220</v>
      </c>
      <c r="B26" s="478" t="s">
        <v>32</v>
      </c>
      <c r="C26" s="246">
        <v>11464000</v>
      </c>
      <c r="D26" s="246">
        <v>0</v>
      </c>
      <c r="E26" s="246">
        <v>0</v>
      </c>
      <c r="F26" s="246">
        <v>0</v>
      </c>
      <c r="G26" s="246">
        <v>83300000</v>
      </c>
      <c r="H26" s="274">
        <f t="shared" si="0"/>
        <v>83300000</v>
      </c>
      <c r="I26" s="246">
        <v>0</v>
      </c>
      <c r="J26" s="246">
        <v>0</v>
      </c>
      <c r="K26" s="246">
        <v>0</v>
      </c>
      <c r="L26" s="246"/>
      <c r="M26" s="246"/>
      <c r="N26" s="246"/>
      <c r="O26" s="246"/>
      <c r="P26" s="246"/>
      <c r="Q26" s="246"/>
      <c r="R26" s="246"/>
      <c r="S26" s="840"/>
      <c r="T26" s="246">
        <f t="shared" si="1"/>
        <v>0</v>
      </c>
    </row>
    <row r="27" spans="1:20" ht="24.95" customHeight="1">
      <c r="A27" s="392">
        <v>22201</v>
      </c>
      <c r="B27" s="292" t="s">
        <v>171</v>
      </c>
      <c r="C27" s="246">
        <v>0</v>
      </c>
      <c r="D27" s="246">
        <v>0</v>
      </c>
      <c r="E27" s="246">
        <v>7000000</v>
      </c>
      <c r="F27" s="246">
        <v>7000000</v>
      </c>
      <c r="G27" s="246">
        <v>20000000</v>
      </c>
      <c r="H27" s="274">
        <f t="shared" si="0"/>
        <v>13000000</v>
      </c>
      <c r="I27" s="246">
        <v>20000000</v>
      </c>
      <c r="J27" s="246">
        <v>14896000</v>
      </c>
      <c r="K27" s="246">
        <v>30000000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840">
        <v>0</v>
      </c>
      <c r="T27" s="246">
        <f t="shared" si="1"/>
        <v>0</v>
      </c>
    </row>
    <row r="28" spans="1:20" ht="24.95" customHeight="1">
      <c r="A28" s="392">
        <v>22202</v>
      </c>
      <c r="B28" s="292" t="s">
        <v>172</v>
      </c>
      <c r="C28" s="246">
        <v>0</v>
      </c>
      <c r="D28" s="246">
        <v>0</v>
      </c>
      <c r="E28" s="246">
        <v>8000000</v>
      </c>
      <c r="F28" s="246">
        <v>0</v>
      </c>
      <c r="G28" s="246">
        <v>0</v>
      </c>
      <c r="H28" s="274">
        <f t="shared" si="0"/>
        <v>0</v>
      </c>
      <c r="I28" s="246">
        <v>0</v>
      </c>
      <c r="J28" s="246">
        <v>0</v>
      </c>
      <c r="K28" s="246">
        <v>0</v>
      </c>
      <c r="L28" s="246">
        <v>81000000</v>
      </c>
      <c r="M28" s="246">
        <f>81000000+119560900</f>
        <v>200560900</v>
      </c>
      <c r="N28" s="246">
        <f>M28*70%</f>
        <v>140392630</v>
      </c>
      <c r="O28" s="246">
        <f>N28</f>
        <v>140392630</v>
      </c>
      <c r="P28" s="246">
        <v>160392630</v>
      </c>
      <c r="Q28" s="246">
        <v>160392630</v>
      </c>
      <c r="R28" s="246">
        <v>300000000</v>
      </c>
      <c r="S28" s="840">
        <v>300000000</v>
      </c>
      <c r="T28" s="246">
        <f t="shared" si="1"/>
        <v>0</v>
      </c>
    </row>
    <row r="29" spans="1:20" ht="24.95" customHeight="1">
      <c r="A29" s="392">
        <v>22203</v>
      </c>
      <c r="B29" s="292" t="s">
        <v>173</v>
      </c>
      <c r="C29" s="246">
        <v>3000000</v>
      </c>
      <c r="D29" s="246">
        <v>0</v>
      </c>
      <c r="E29" s="246">
        <v>0</v>
      </c>
      <c r="F29" s="246">
        <v>0</v>
      </c>
      <c r="G29" s="246">
        <v>0</v>
      </c>
      <c r="H29" s="274">
        <f t="shared" si="0"/>
        <v>0</v>
      </c>
      <c r="I29" s="246">
        <v>0</v>
      </c>
      <c r="J29" s="246">
        <v>0</v>
      </c>
      <c r="K29" s="246">
        <v>0</v>
      </c>
      <c r="L29" s="246">
        <v>14896000</v>
      </c>
      <c r="M29" s="246">
        <v>14896000</v>
      </c>
      <c r="N29" s="246">
        <f>M29*70%</f>
        <v>10427200</v>
      </c>
      <c r="O29" s="246">
        <f>N29</f>
        <v>10427200</v>
      </c>
      <c r="P29" s="246">
        <v>20427200</v>
      </c>
      <c r="Q29" s="246">
        <v>20427200</v>
      </c>
      <c r="R29" s="246">
        <v>40427200</v>
      </c>
      <c r="S29" s="840">
        <v>40427200</v>
      </c>
      <c r="T29" s="246">
        <f t="shared" si="1"/>
        <v>0</v>
      </c>
    </row>
    <row r="30" spans="1:20" ht="24.95" customHeight="1">
      <c r="A30" s="392">
        <v>22204</v>
      </c>
      <c r="B30" s="292" t="s">
        <v>174</v>
      </c>
      <c r="C30" s="246">
        <v>0</v>
      </c>
      <c r="D30" s="246">
        <v>0</v>
      </c>
      <c r="E30" s="246">
        <v>0</v>
      </c>
      <c r="F30" s="246">
        <v>0</v>
      </c>
      <c r="G30" s="246">
        <v>10000000</v>
      </c>
      <c r="H30" s="274">
        <f t="shared" si="0"/>
        <v>10000000</v>
      </c>
      <c r="I30" s="246">
        <v>10000000</v>
      </c>
      <c r="J30" s="246">
        <v>7448000</v>
      </c>
      <c r="K30" s="246">
        <v>15000000</v>
      </c>
      <c r="L30" s="246">
        <v>7448000</v>
      </c>
      <c r="M30" s="246">
        <f>7448000+2552000</f>
        <v>10000000</v>
      </c>
      <c r="N30" s="246">
        <f t="shared" ref="N30:S30" si="5">10000000*70%</f>
        <v>7000000</v>
      </c>
      <c r="O30" s="246">
        <f t="shared" si="5"/>
        <v>7000000</v>
      </c>
      <c r="P30" s="246">
        <f t="shared" si="5"/>
        <v>7000000</v>
      </c>
      <c r="Q30" s="246">
        <f t="shared" si="5"/>
        <v>7000000</v>
      </c>
      <c r="R30" s="246">
        <f t="shared" si="5"/>
        <v>7000000</v>
      </c>
      <c r="S30" s="840">
        <f t="shared" si="5"/>
        <v>7000000</v>
      </c>
      <c r="T30" s="246">
        <f t="shared" si="1"/>
        <v>0</v>
      </c>
    </row>
    <row r="31" spans="1:20" ht="24.95" customHeight="1">
      <c r="A31" s="392"/>
      <c r="B31" s="478" t="s">
        <v>5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74">
        <f t="shared" si="0"/>
        <v>0</v>
      </c>
      <c r="I31" s="246">
        <v>0</v>
      </c>
      <c r="J31" s="246">
        <v>0</v>
      </c>
      <c r="K31" s="246">
        <v>0</v>
      </c>
      <c r="L31" s="280">
        <f t="shared" ref="L31:P31" si="6">SUM(L27:L30)</f>
        <v>103344000</v>
      </c>
      <c r="M31" s="280">
        <f t="shared" si="6"/>
        <v>225456900</v>
      </c>
      <c r="N31" s="280">
        <f t="shared" si="6"/>
        <v>157819830</v>
      </c>
      <c r="O31" s="280">
        <f t="shared" si="6"/>
        <v>157819830</v>
      </c>
      <c r="P31" s="280">
        <f t="shared" si="6"/>
        <v>187819830</v>
      </c>
      <c r="Q31" s="280">
        <f>SUM(Q27:Q30)</f>
        <v>187819830</v>
      </c>
      <c r="R31" s="280">
        <f>SUM(R27:R30)</f>
        <v>347427200</v>
      </c>
      <c r="S31" s="851">
        <f>SUM(S27:S30)</f>
        <v>347427200</v>
      </c>
      <c r="T31" s="280">
        <f t="shared" si="1"/>
        <v>0</v>
      </c>
    </row>
    <row r="32" spans="1:20" ht="24.95" customHeight="1">
      <c r="A32" s="476">
        <v>2230</v>
      </c>
      <c r="B32" s="478" t="s">
        <v>177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74">
        <f t="shared" ref="H32:H35" si="7">G32-F32</f>
        <v>0</v>
      </c>
      <c r="I32" s="246">
        <v>0</v>
      </c>
      <c r="J32" s="246">
        <v>0</v>
      </c>
      <c r="K32" s="246">
        <v>0</v>
      </c>
      <c r="L32" s="246"/>
      <c r="M32" s="246"/>
      <c r="N32" s="246"/>
      <c r="O32" s="246"/>
      <c r="P32" s="246"/>
      <c r="Q32" s="246"/>
      <c r="R32" s="246"/>
      <c r="S32" s="840"/>
      <c r="T32" s="246">
        <f t="shared" si="1"/>
        <v>0</v>
      </c>
    </row>
    <row r="33" spans="1:20" ht="24.95" customHeight="1">
      <c r="A33" s="392">
        <v>22301</v>
      </c>
      <c r="B33" s="292" t="s">
        <v>182</v>
      </c>
      <c r="C33" s="246"/>
      <c r="D33" s="246"/>
      <c r="E33" s="246">
        <v>0</v>
      </c>
      <c r="F33" s="246">
        <v>3000000000</v>
      </c>
      <c r="G33" s="246">
        <v>4000000000</v>
      </c>
      <c r="H33" s="274">
        <f t="shared" si="7"/>
        <v>1000000000</v>
      </c>
      <c r="I33" s="246">
        <v>0</v>
      </c>
      <c r="J33" s="246">
        <v>8000000000</v>
      </c>
      <c r="K33" s="246">
        <v>5000000000</v>
      </c>
      <c r="L33" s="246">
        <v>18620000</v>
      </c>
      <c r="M33" s="246">
        <v>95900000</v>
      </c>
      <c r="N33" s="246">
        <f>M33*70%</f>
        <v>67130000</v>
      </c>
      <c r="O33" s="246">
        <v>97130000</v>
      </c>
      <c r="P33" s="246">
        <v>97130000</v>
      </c>
      <c r="Q33" s="246">
        <v>97130000</v>
      </c>
      <c r="R33" s="246">
        <v>97130000</v>
      </c>
      <c r="S33" s="840">
        <v>147000000</v>
      </c>
      <c r="T33" s="246">
        <f t="shared" si="1"/>
        <v>49870000</v>
      </c>
    </row>
    <row r="34" spans="1:20" ht="24.95" customHeight="1">
      <c r="A34" s="392">
        <v>22302</v>
      </c>
      <c r="B34" s="292" t="s">
        <v>178</v>
      </c>
      <c r="C34" s="286">
        <f>SUM(C15:C32)</f>
        <v>30214000</v>
      </c>
      <c r="D34" s="286">
        <v>0</v>
      </c>
      <c r="E34" s="286">
        <f>SUM(E10:E32)</f>
        <v>288870000</v>
      </c>
      <c r="F34" s="286">
        <f>SUM(F10:F33)</f>
        <v>3125370000</v>
      </c>
      <c r="G34" s="286">
        <f>SUM(G15:G33)</f>
        <v>4268300000</v>
      </c>
      <c r="H34" s="286">
        <f t="shared" si="7"/>
        <v>1142930000</v>
      </c>
      <c r="I34" s="286">
        <f>SUM(I15:I33)</f>
        <v>98000000</v>
      </c>
      <c r="J34" s="286">
        <f>SUM(J15:J33)</f>
        <v>8080438400</v>
      </c>
      <c r="K34" s="286">
        <f>SUM(K15:K33)</f>
        <v>5120000000</v>
      </c>
      <c r="L34" s="301">
        <v>3724000</v>
      </c>
      <c r="M34" s="301">
        <v>3724000</v>
      </c>
      <c r="N34" s="301">
        <f t="shared" ref="N34:S34" si="8">3724000*70%</f>
        <v>2606800</v>
      </c>
      <c r="O34" s="301">
        <f t="shared" si="8"/>
        <v>2606800</v>
      </c>
      <c r="P34" s="301">
        <f t="shared" si="8"/>
        <v>2606800</v>
      </c>
      <c r="Q34" s="301">
        <f t="shared" si="8"/>
        <v>2606800</v>
      </c>
      <c r="R34" s="301">
        <f t="shared" si="8"/>
        <v>2606800</v>
      </c>
      <c r="S34" s="903">
        <f t="shared" si="8"/>
        <v>2606800</v>
      </c>
      <c r="T34" s="246">
        <f t="shared" si="1"/>
        <v>0</v>
      </c>
    </row>
    <row r="35" spans="1:20" ht="24.95" customHeight="1">
      <c r="A35" s="608"/>
      <c r="B35" s="478" t="s">
        <v>5</v>
      </c>
      <c r="C35" s="286" t="e">
        <f>C34+#REF!+#REF!+C2+#REF!</f>
        <v>#REF!</v>
      </c>
      <c r="D35" s="286" t="e">
        <f>#REF!</f>
        <v>#REF!</v>
      </c>
      <c r="E35" s="286" t="e">
        <f>E34+#REF!+#REF!+E2+#REF!</f>
        <v>#REF!</v>
      </c>
      <c r="F35" s="286" t="e">
        <f>F34+#REF!+#REF!+F2+#REF!</f>
        <v>#REF!</v>
      </c>
      <c r="G35" s="286" t="e">
        <f>G34+#REF!+#REF!+G2+#REF!</f>
        <v>#REF!</v>
      </c>
      <c r="H35" s="286" t="e">
        <f t="shared" si="7"/>
        <v>#REF!</v>
      </c>
      <c r="I35" s="286" t="e">
        <f>I34+#REF!+#REF!+I2+#REF!</f>
        <v>#REF!</v>
      </c>
      <c r="J35" s="286" t="e">
        <f>J34+#REF!+#REF!+J2+#REF!</f>
        <v>#REF!</v>
      </c>
      <c r="K35" s="286" t="e">
        <f>K34+#REF!+#REF!+K2+#REF!</f>
        <v>#REF!</v>
      </c>
      <c r="L35" s="286">
        <f t="shared" ref="L35:O35" si="9">SUM(L33:L34)</f>
        <v>22344000</v>
      </c>
      <c r="M35" s="286">
        <f t="shared" si="9"/>
        <v>99624000</v>
      </c>
      <c r="N35" s="286">
        <f t="shared" si="9"/>
        <v>69736800</v>
      </c>
      <c r="O35" s="286">
        <f t="shared" si="9"/>
        <v>99736800</v>
      </c>
      <c r="P35" s="286">
        <f>SUM(P33:P34)</f>
        <v>99736800</v>
      </c>
      <c r="Q35" s="286">
        <f>SUM(Q33:Q34)</f>
        <v>99736800</v>
      </c>
      <c r="R35" s="286">
        <f>SUM(R33:R34)</f>
        <v>99736800</v>
      </c>
      <c r="S35" s="902">
        <f>SUM(S33:S34)</f>
        <v>149606800</v>
      </c>
      <c r="T35" s="280">
        <f t="shared" si="1"/>
        <v>49870000</v>
      </c>
    </row>
    <row r="36" spans="1:20" ht="24.95" customHeight="1">
      <c r="A36" s="476">
        <v>270</v>
      </c>
      <c r="B36" s="478" t="s">
        <v>175</v>
      </c>
      <c r="C36" s="246">
        <v>0</v>
      </c>
      <c r="D36" s="246">
        <v>0</v>
      </c>
      <c r="E36" s="246">
        <f>D36-C36</f>
        <v>0</v>
      </c>
      <c r="F36" s="246">
        <f>E36-D36</f>
        <v>0</v>
      </c>
      <c r="G36" s="246">
        <v>0</v>
      </c>
      <c r="H36" s="274">
        <f t="shared" si="0"/>
        <v>0</v>
      </c>
      <c r="I36" s="246">
        <v>0</v>
      </c>
      <c r="J36" s="246">
        <v>0</v>
      </c>
      <c r="K36" s="246">
        <v>0</v>
      </c>
      <c r="L36" s="246"/>
      <c r="M36" s="246"/>
      <c r="N36" s="246"/>
      <c r="O36" s="246"/>
      <c r="P36" s="246"/>
      <c r="Q36" s="246"/>
      <c r="R36" s="246"/>
      <c r="S36" s="840"/>
      <c r="T36" s="246">
        <f t="shared" si="1"/>
        <v>0</v>
      </c>
    </row>
    <row r="37" spans="1:20" ht="24.95" customHeight="1">
      <c r="A37" s="476">
        <v>2710</v>
      </c>
      <c r="B37" s="478" t="s">
        <v>386</v>
      </c>
      <c r="C37" s="246">
        <v>1500000</v>
      </c>
      <c r="D37" s="246">
        <v>0</v>
      </c>
      <c r="E37" s="246">
        <v>6000000</v>
      </c>
      <c r="F37" s="246">
        <v>6000000</v>
      </c>
      <c r="G37" s="246">
        <v>6000000</v>
      </c>
      <c r="H37" s="274">
        <f t="shared" si="0"/>
        <v>0</v>
      </c>
      <c r="I37" s="246">
        <v>10000000</v>
      </c>
      <c r="J37" s="246">
        <v>7448000</v>
      </c>
      <c r="K37" s="246">
        <v>10000000</v>
      </c>
      <c r="L37" s="246"/>
      <c r="M37" s="246"/>
      <c r="N37" s="246"/>
      <c r="O37" s="246"/>
      <c r="P37" s="246"/>
      <c r="Q37" s="246"/>
      <c r="R37" s="246"/>
      <c r="S37" s="840"/>
      <c r="T37" s="246">
        <f t="shared" si="1"/>
        <v>0</v>
      </c>
    </row>
    <row r="38" spans="1:20" ht="24.95" customHeight="1">
      <c r="A38" s="392">
        <v>27601</v>
      </c>
      <c r="B38" s="292" t="s">
        <v>176</v>
      </c>
      <c r="C38" s="246">
        <v>1200000</v>
      </c>
      <c r="D38" s="246">
        <v>0</v>
      </c>
      <c r="E38" s="246">
        <v>6000000</v>
      </c>
      <c r="F38" s="246">
        <v>6000000</v>
      </c>
      <c r="G38" s="246">
        <v>6000000</v>
      </c>
      <c r="H38" s="274">
        <f t="shared" si="0"/>
        <v>0</v>
      </c>
      <c r="I38" s="246">
        <v>8000000</v>
      </c>
      <c r="J38" s="246">
        <v>9682400</v>
      </c>
      <c r="K38" s="246">
        <v>18000000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840">
        <v>0</v>
      </c>
      <c r="T38" s="246">
        <f t="shared" si="1"/>
        <v>0</v>
      </c>
    </row>
    <row r="39" spans="1:20" ht="24.95" customHeight="1">
      <c r="A39" s="392">
        <v>27402</v>
      </c>
      <c r="B39" s="292" t="s">
        <v>985</v>
      </c>
      <c r="C39" s="246"/>
      <c r="D39" s="246"/>
      <c r="E39" s="246"/>
      <c r="F39" s="246"/>
      <c r="G39" s="246"/>
      <c r="H39" s="274"/>
      <c r="I39" s="246"/>
      <c r="J39" s="246"/>
      <c r="K39" s="246"/>
      <c r="L39" s="246"/>
      <c r="M39" s="246"/>
      <c r="N39" s="246"/>
      <c r="O39" s="246"/>
      <c r="P39" s="246"/>
      <c r="Q39" s="246">
        <v>120000000</v>
      </c>
      <c r="R39" s="246">
        <v>1260000000</v>
      </c>
      <c r="S39" s="840">
        <v>0</v>
      </c>
      <c r="T39" s="246">
        <f t="shared" si="1"/>
        <v>-1260000000</v>
      </c>
    </row>
    <row r="40" spans="1:20" ht="24.95" customHeight="1">
      <c r="A40" s="392">
        <v>27502</v>
      </c>
      <c r="B40" s="292" t="s">
        <v>183</v>
      </c>
      <c r="C40" s="246"/>
      <c r="D40" s="246"/>
      <c r="E40" s="246"/>
      <c r="F40" s="246"/>
      <c r="G40" s="246"/>
      <c r="H40" s="274"/>
      <c r="I40" s="246"/>
      <c r="J40" s="246"/>
      <c r="K40" s="246"/>
      <c r="L40" s="246">
        <v>3724000</v>
      </c>
      <c r="M40" s="246">
        <v>3724000</v>
      </c>
      <c r="N40" s="246">
        <f>3724000*70%</f>
        <v>2606800</v>
      </c>
      <c r="O40" s="246">
        <v>0</v>
      </c>
      <c r="P40" s="246">
        <v>0</v>
      </c>
      <c r="Q40" s="246">
        <v>0</v>
      </c>
      <c r="R40" s="246">
        <v>0</v>
      </c>
      <c r="S40" s="840">
        <v>0</v>
      </c>
      <c r="T40" s="246">
        <f t="shared" si="1"/>
        <v>0</v>
      </c>
    </row>
    <row r="41" spans="1:20" ht="24.95" customHeight="1">
      <c r="A41" s="392"/>
      <c r="B41" s="478" t="s">
        <v>5</v>
      </c>
      <c r="C41" s="246">
        <v>7400000</v>
      </c>
      <c r="D41" s="246">
        <v>0</v>
      </c>
      <c r="E41" s="246">
        <v>0</v>
      </c>
      <c r="F41" s="246">
        <v>0</v>
      </c>
      <c r="G41" s="246">
        <v>0</v>
      </c>
      <c r="H41" s="274">
        <f t="shared" si="0"/>
        <v>0</v>
      </c>
      <c r="I41" s="246">
        <v>0</v>
      </c>
      <c r="J41" s="246">
        <v>0</v>
      </c>
      <c r="K41" s="246">
        <v>0</v>
      </c>
      <c r="L41" s="280">
        <f t="shared" ref="L41:P41" si="10">SUM(L38:L40)</f>
        <v>3724000</v>
      </c>
      <c r="M41" s="280">
        <f t="shared" si="10"/>
        <v>3724000</v>
      </c>
      <c r="N41" s="280">
        <f t="shared" si="10"/>
        <v>2606800</v>
      </c>
      <c r="O41" s="280">
        <f t="shared" si="10"/>
        <v>0</v>
      </c>
      <c r="P41" s="280">
        <f t="shared" si="10"/>
        <v>0</v>
      </c>
      <c r="Q41" s="280">
        <f>SUM(Q38:Q40)</f>
        <v>120000000</v>
      </c>
      <c r="R41" s="280">
        <f>SUM(R38:R40)</f>
        <v>1260000000</v>
      </c>
      <c r="S41" s="851">
        <f>SUM(S38:S40)</f>
        <v>0</v>
      </c>
      <c r="T41" s="280">
        <f t="shared" si="1"/>
        <v>-1260000000</v>
      </c>
    </row>
    <row r="42" spans="1:20" ht="24.95" customHeight="1">
      <c r="A42" s="392">
        <v>2720</v>
      </c>
      <c r="B42" s="478" t="s">
        <v>502</v>
      </c>
      <c r="C42" s="246"/>
      <c r="D42" s="246"/>
      <c r="E42" s="246"/>
      <c r="F42" s="246"/>
      <c r="G42" s="246"/>
      <c r="H42" s="274"/>
      <c r="I42" s="246"/>
      <c r="J42" s="246"/>
      <c r="K42" s="246"/>
      <c r="L42" s="280"/>
      <c r="M42" s="280"/>
      <c r="N42" s="280"/>
      <c r="O42" s="280"/>
      <c r="P42" s="280"/>
      <c r="Q42" s="280"/>
      <c r="R42" s="280"/>
      <c r="S42" s="851"/>
      <c r="T42" s="246">
        <f t="shared" si="1"/>
        <v>0</v>
      </c>
    </row>
    <row r="43" spans="1:20" ht="24.95" customHeight="1">
      <c r="A43" s="392">
        <v>27202</v>
      </c>
      <c r="B43" s="292" t="s">
        <v>1223</v>
      </c>
      <c r="C43" s="246"/>
      <c r="D43" s="246"/>
      <c r="E43" s="246"/>
      <c r="F43" s="246"/>
      <c r="G43" s="246"/>
      <c r="H43" s="274"/>
      <c r="I43" s="246"/>
      <c r="J43" s="246"/>
      <c r="K43" s="246"/>
      <c r="L43" s="280"/>
      <c r="M43" s="280"/>
      <c r="N43" s="280"/>
      <c r="O43" s="280"/>
      <c r="P43" s="280"/>
      <c r="Q43" s="280"/>
      <c r="R43" s="280"/>
      <c r="S43" s="840">
        <v>400000000</v>
      </c>
      <c r="T43" s="246">
        <f t="shared" si="1"/>
        <v>400000000</v>
      </c>
    </row>
    <row r="44" spans="1:20" ht="24.95" customHeight="1">
      <c r="A44" s="392"/>
      <c r="B44" s="478" t="s">
        <v>5</v>
      </c>
      <c r="C44" s="246"/>
      <c r="D44" s="246"/>
      <c r="E44" s="246"/>
      <c r="F44" s="246"/>
      <c r="G44" s="246"/>
      <c r="H44" s="274"/>
      <c r="I44" s="246"/>
      <c r="J44" s="246"/>
      <c r="K44" s="246"/>
      <c r="L44" s="280"/>
      <c r="M44" s="280"/>
      <c r="N44" s="280"/>
      <c r="O44" s="280"/>
      <c r="P44" s="280"/>
      <c r="Q44" s="280"/>
      <c r="R44" s="280"/>
      <c r="S44" s="851">
        <f>SUM(S43)</f>
        <v>400000000</v>
      </c>
      <c r="T44" s="280">
        <f t="shared" si="1"/>
        <v>400000000</v>
      </c>
    </row>
    <row r="45" spans="1:20" ht="24.95" customHeight="1">
      <c r="A45" s="608"/>
      <c r="B45" s="478" t="s">
        <v>179</v>
      </c>
      <c r="C45" s="292"/>
      <c r="D45" s="292" t="s">
        <v>4</v>
      </c>
      <c r="E45" s="292"/>
      <c r="F45" s="274">
        <v>0</v>
      </c>
      <c r="G45" s="274"/>
      <c r="H45" s="292"/>
      <c r="I45" s="274"/>
      <c r="J45" s="274"/>
      <c r="K45" s="274"/>
      <c r="L45" s="279" t="e">
        <f>#REF!+L41+L31+L25+L8</f>
        <v>#REF!</v>
      </c>
      <c r="M45" s="279" t="e">
        <f>#REF!+M41+M31+M25+M8</f>
        <v>#REF!</v>
      </c>
      <c r="N45" s="279" t="e">
        <f>#REF!+N41+N31+N25+N8</f>
        <v>#REF!</v>
      </c>
      <c r="O45" s="279" t="e">
        <f>#REF!+#REF!+O31+O25+O8+O41</f>
        <v>#REF!</v>
      </c>
      <c r="P45" s="279">
        <f>P41+P35+P31+P25+P8</f>
        <v>2106014684</v>
      </c>
      <c r="Q45" s="279">
        <f>Q41+Q35+Q31+Q25+Q8</f>
        <v>38226014684</v>
      </c>
      <c r="R45" s="279">
        <f>R41+R35+R31+R25+R8</f>
        <v>4984815654</v>
      </c>
      <c r="S45" s="850">
        <f>S41+S35+S31+S25+S8+S44</f>
        <v>5034716020</v>
      </c>
      <c r="T45" s="280">
        <f t="shared" si="1"/>
        <v>49900366</v>
      </c>
    </row>
    <row r="46" spans="1:20" ht="24.95" customHeight="1">
      <c r="O46" s="648"/>
      <c r="P46" s="509"/>
      <c r="Q46" s="509"/>
      <c r="R46" s="509"/>
      <c r="S46" s="509"/>
      <c r="T46" s="509"/>
    </row>
    <row r="48" spans="1:20" ht="24.95" customHeight="1">
      <c r="F48" s="627">
        <f>1386274192-71600000-798000-176160000-12600000</f>
        <v>1125116192</v>
      </c>
      <c r="L48" s="649"/>
    </row>
    <row r="49" spans="12:12" ht="24.95" customHeight="1">
      <c r="L49" s="649"/>
    </row>
  </sheetData>
  <phoneticPr fontId="0" type="noConversion"/>
  <printOptions gridLines="1"/>
  <pageMargins left="0.61" right="0.25" top="0.85" bottom="0.7" header="0.28000000000000003" footer="0.31"/>
  <pageSetup scale="60" orientation="portrait" r:id="rId1"/>
  <headerFooter alignWithMargins="0">
    <oddHeader>&amp;C&amp;"Algerian,Bold"&amp;36GUDIDA DOORASHOYINKA QARANKA</oddHeader>
    <oddFooter>&amp;R&amp;"Times New Roman,Bold"&amp;14 52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5"/>
  <sheetViews>
    <sheetView view="pageBreakPreview" topLeftCell="A28" zoomScale="60" zoomScaleNormal="100" workbookViewId="0">
      <selection activeCell="R42" sqref="R42"/>
    </sheetView>
  </sheetViews>
  <sheetFormatPr defaultRowHeight="24" customHeight="1"/>
  <cols>
    <col min="1" max="1" width="18.1640625" style="584" bestFit="1" customWidth="1"/>
    <col min="2" max="2" width="73.1640625" style="656" customWidth="1"/>
    <col min="3" max="3" width="17.5" style="528" hidden="1" customWidth="1"/>
    <col min="4" max="4" width="15.1640625" style="528" hidden="1" customWidth="1"/>
    <col min="5" max="5" width="18" style="528" hidden="1" customWidth="1"/>
    <col min="6" max="6" width="15.1640625" style="528" hidden="1" customWidth="1"/>
    <col min="7" max="7" width="16.83203125" style="528" hidden="1" customWidth="1"/>
    <col min="8" max="8" width="0.1640625" style="528" hidden="1" customWidth="1"/>
    <col min="9" max="9" width="19.6640625" style="528" hidden="1" customWidth="1"/>
    <col min="10" max="10" width="0.33203125" style="528" hidden="1" customWidth="1"/>
    <col min="11" max="11" width="19.6640625" style="528" hidden="1" customWidth="1"/>
    <col min="12" max="12" width="21.6640625" style="528" hidden="1" customWidth="1"/>
    <col min="13" max="13" width="23.1640625" style="528" hidden="1" customWidth="1"/>
    <col min="14" max="14" width="24.5" style="528" hidden="1" customWidth="1"/>
    <col min="15" max="16" width="27.6640625" style="528" hidden="1" customWidth="1"/>
    <col min="17" max="19" width="27.6640625" style="528" customWidth="1"/>
    <col min="20" max="20" width="14.6640625" style="528" customWidth="1"/>
    <col min="21" max="16384" width="9.33203125" style="528"/>
  </cols>
  <sheetData>
    <row r="1" spans="1:19" ht="27.95" customHeight="1">
      <c r="A1" s="608" t="s">
        <v>40</v>
      </c>
      <c r="B1" s="545" t="s">
        <v>1023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</row>
    <row r="2" spans="1:19" ht="27.95" customHeight="1">
      <c r="A2" s="608" t="s">
        <v>25</v>
      </c>
      <c r="B2" s="545" t="s">
        <v>26</v>
      </c>
      <c r="C2" s="482" t="s">
        <v>38</v>
      </c>
      <c r="D2" s="482" t="s">
        <v>2</v>
      </c>
      <c r="E2" s="482" t="s">
        <v>43</v>
      </c>
      <c r="F2" s="482" t="s">
        <v>46</v>
      </c>
      <c r="G2" s="482" t="s">
        <v>57</v>
      </c>
      <c r="H2" s="482" t="s">
        <v>64</v>
      </c>
      <c r="I2" s="482" t="s">
        <v>103</v>
      </c>
      <c r="J2" s="482" t="s">
        <v>107</v>
      </c>
      <c r="K2" s="482" t="s">
        <v>116</v>
      </c>
      <c r="L2" s="482" t="s">
        <v>151</v>
      </c>
      <c r="M2" s="482" t="s">
        <v>259</v>
      </c>
      <c r="N2" s="482" t="s">
        <v>814</v>
      </c>
      <c r="O2" s="482" t="s">
        <v>874</v>
      </c>
      <c r="P2" s="482" t="s">
        <v>973</v>
      </c>
      <c r="Q2" s="482" t="s">
        <v>1160</v>
      </c>
      <c r="R2" s="482" t="s">
        <v>1320</v>
      </c>
      <c r="S2" s="482" t="s">
        <v>56</v>
      </c>
    </row>
    <row r="3" spans="1:19" ht="27.95" customHeight="1">
      <c r="A3" s="476">
        <v>210</v>
      </c>
      <c r="B3" s="280" t="s">
        <v>137</v>
      </c>
      <c r="C3" s="478"/>
      <c r="D3" s="478"/>
      <c r="E3" s="478"/>
      <c r="F3" s="478"/>
      <c r="G3" s="478"/>
      <c r="H3" s="478"/>
      <c r="I3" s="478"/>
      <c r="J3" s="478"/>
      <c r="K3" s="478"/>
      <c r="L3" s="292"/>
      <c r="M3" s="292"/>
      <c r="N3" s="292"/>
      <c r="O3" s="292"/>
      <c r="P3" s="292"/>
      <c r="Q3" s="292"/>
      <c r="R3" s="292"/>
      <c r="S3" s="292"/>
    </row>
    <row r="4" spans="1:19" ht="27.95" customHeight="1">
      <c r="A4" s="476">
        <v>2110</v>
      </c>
      <c r="B4" s="280" t="s">
        <v>213</v>
      </c>
      <c r="C4" s="274">
        <v>0</v>
      </c>
      <c r="D4" s="274">
        <v>45168000</v>
      </c>
      <c r="E4" s="274">
        <v>82272000</v>
      </c>
      <c r="F4" s="274">
        <v>82272000</v>
      </c>
      <c r="G4" s="274">
        <v>167590800</v>
      </c>
      <c r="H4" s="274">
        <f>135236400+4149600+27000000+3000000</f>
        <v>169386000</v>
      </c>
      <c r="I4" s="274">
        <f>169386000+6000000+4149600</f>
        <v>179535600</v>
      </c>
      <c r="J4" s="274"/>
      <c r="K4" s="274"/>
      <c r="L4" s="274"/>
      <c r="M4" s="246"/>
      <c r="N4" s="246"/>
      <c r="O4" s="246"/>
      <c r="P4" s="246"/>
      <c r="Q4" s="246"/>
      <c r="R4" s="246"/>
      <c r="S4" s="246"/>
    </row>
    <row r="5" spans="1:19" ht="27.95" customHeight="1">
      <c r="A5" s="392">
        <v>21101</v>
      </c>
      <c r="B5" s="246" t="s">
        <v>28</v>
      </c>
      <c r="C5" s="274">
        <v>0</v>
      </c>
      <c r="D5" s="274">
        <v>24500000</v>
      </c>
      <c r="E5" s="274">
        <v>0</v>
      </c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274">
        <v>37471200</v>
      </c>
      <c r="L5" s="274">
        <v>41995200</v>
      </c>
      <c r="M5" s="274">
        <f>shaqaalaha2011!H47+36000000</f>
        <v>113594400</v>
      </c>
      <c r="N5" s="274">
        <v>92289600</v>
      </c>
      <c r="O5" s="274">
        <v>117486720</v>
      </c>
      <c r="P5" s="274">
        <v>156386880</v>
      </c>
      <c r="Q5" s="274">
        <v>171737280</v>
      </c>
      <c r="R5" s="853">
        <v>208308672</v>
      </c>
      <c r="S5" s="274">
        <f>R5-Q5</f>
        <v>36571392</v>
      </c>
    </row>
    <row r="6" spans="1:19" ht="27.95" customHeight="1">
      <c r="A6" s="392">
        <v>21102</v>
      </c>
      <c r="B6" s="246" t="s">
        <v>29</v>
      </c>
      <c r="C6" s="246">
        <v>0</v>
      </c>
      <c r="D6" s="246">
        <v>10800000</v>
      </c>
      <c r="E6" s="246">
        <v>14400000</v>
      </c>
      <c r="F6" s="246">
        <v>14400000</v>
      </c>
      <c r="G6" s="246">
        <v>14400000</v>
      </c>
      <c r="H6" s="246">
        <f>14400000+16200000+720000</f>
        <v>31320000</v>
      </c>
      <c r="I6" s="246">
        <f>31320000+720000+3960000</f>
        <v>36000000</v>
      </c>
      <c r="J6" s="274">
        <v>0</v>
      </c>
      <c r="K6" s="274">
        <v>0</v>
      </c>
      <c r="L6" s="274">
        <v>0</v>
      </c>
      <c r="M6" s="274">
        <v>0</v>
      </c>
      <c r="N6" s="274">
        <v>222000000</v>
      </c>
      <c r="O6" s="274">
        <v>438000000</v>
      </c>
      <c r="P6" s="274">
        <v>438000000</v>
      </c>
      <c r="Q6" s="274">
        <v>438000000</v>
      </c>
      <c r="R6" s="853">
        <v>438000000</v>
      </c>
      <c r="S6" s="274">
        <f t="shared" ref="S6:S42" si="0">R6-Q6</f>
        <v>0</v>
      </c>
    </row>
    <row r="7" spans="1:19" ht="27.95" customHeight="1">
      <c r="A7" s="392">
        <v>21103</v>
      </c>
      <c r="B7" s="246" t="s">
        <v>30</v>
      </c>
      <c r="C7" s="280">
        <v>0</v>
      </c>
      <c r="D7" s="280">
        <f>SUM(D4:D6)</f>
        <v>80468000</v>
      </c>
      <c r="E7" s="280">
        <f>SUM(E4:E6)</f>
        <v>96672000</v>
      </c>
      <c r="F7" s="280">
        <f>SUM(F4:F6)</f>
        <v>96672000</v>
      </c>
      <c r="G7" s="280">
        <f>SUM(G4:G6)</f>
        <v>181990800</v>
      </c>
      <c r="H7" s="280">
        <f>SUM(H4:H6)</f>
        <v>200706000</v>
      </c>
      <c r="I7" s="246">
        <v>0</v>
      </c>
      <c r="J7" s="246">
        <v>0</v>
      </c>
      <c r="K7" s="246">
        <v>34800000</v>
      </c>
      <c r="L7" s="274">
        <v>161760000</v>
      </c>
      <c r="M7" s="274">
        <v>161760000</v>
      </c>
      <c r="N7" s="274">
        <v>154800000</v>
      </c>
      <c r="O7" s="274">
        <v>342000000</v>
      </c>
      <c r="P7" s="274">
        <v>360000000</v>
      </c>
      <c r="Q7" s="274">
        <v>378000000</v>
      </c>
      <c r="R7" s="853">
        <v>378000000</v>
      </c>
      <c r="S7" s="274">
        <f t="shared" si="0"/>
        <v>0</v>
      </c>
    </row>
    <row r="8" spans="1:19" ht="27.95" customHeight="1">
      <c r="A8" s="392"/>
      <c r="B8" s="280" t="s">
        <v>92</v>
      </c>
      <c r="C8" s="280">
        <v>0</v>
      </c>
      <c r="D8" s="280" t="e">
        <f>SUM(#REF!)</f>
        <v>#REF!</v>
      </c>
      <c r="E8" s="280" t="e">
        <f>SUM(#REF!)</f>
        <v>#REF!</v>
      </c>
      <c r="F8" s="280" t="e">
        <f>SUM(#REF!)</f>
        <v>#REF!</v>
      </c>
      <c r="G8" s="280" t="e">
        <f>SUM(#REF!)</f>
        <v>#REF!</v>
      </c>
      <c r="H8" s="280" t="e">
        <f>SUM(#REF!)</f>
        <v>#REF!</v>
      </c>
      <c r="I8" s="246">
        <v>0</v>
      </c>
      <c r="J8" s="280">
        <f t="shared" ref="J8:O8" si="1">SUM(J5:J7)</f>
        <v>0</v>
      </c>
      <c r="K8" s="280">
        <f t="shared" si="1"/>
        <v>72271200</v>
      </c>
      <c r="L8" s="279">
        <f t="shared" si="1"/>
        <v>203755200</v>
      </c>
      <c r="M8" s="279">
        <f t="shared" si="1"/>
        <v>275354400</v>
      </c>
      <c r="N8" s="279">
        <f t="shared" si="1"/>
        <v>469089600</v>
      </c>
      <c r="O8" s="279">
        <f t="shared" si="1"/>
        <v>897486720</v>
      </c>
      <c r="P8" s="279">
        <f>SUM(P5:P7)</f>
        <v>954386880</v>
      </c>
      <c r="Q8" s="279">
        <f>SUM(Q5:Q7)</f>
        <v>987737280</v>
      </c>
      <c r="R8" s="850">
        <f>SUM(R5:R7)</f>
        <v>1024308672</v>
      </c>
      <c r="S8" s="279">
        <f t="shared" si="0"/>
        <v>36571392</v>
      </c>
    </row>
    <row r="9" spans="1:19" ht="27.95" customHeight="1">
      <c r="A9" s="476">
        <v>220</v>
      </c>
      <c r="B9" s="280" t="s">
        <v>225</v>
      </c>
      <c r="C9" s="246" t="s">
        <v>4</v>
      </c>
      <c r="D9" s="246"/>
      <c r="E9" s="246"/>
      <c r="F9" s="246"/>
      <c r="G9" s="246"/>
      <c r="H9" s="246"/>
      <c r="I9" s="246">
        <v>0</v>
      </c>
      <c r="J9" s="246"/>
      <c r="K9" s="246"/>
      <c r="L9" s="274"/>
      <c r="M9" s="274"/>
      <c r="N9" s="274"/>
      <c r="O9" s="274"/>
      <c r="P9" s="274"/>
      <c r="Q9" s="274"/>
      <c r="R9" s="853"/>
      <c r="S9" s="274">
        <f t="shared" si="0"/>
        <v>0</v>
      </c>
    </row>
    <row r="10" spans="1:19" ht="27.95" customHeight="1">
      <c r="A10" s="476">
        <v>2210</v>
      </c>
      <c r="B10" s="280" t="s">
        <v>226</v>
      </c>
      <c r="C10" s="246">
        <v>0</v>
      </c>
      <c r="D10" s="246">
        <v>22600000</v>
      </c>
      <c r="E10" s="246">
        <v>0</v>
      </c>
      <c r="F10" s="246">
        <v>0</v>
      </c>
      <c r="G10" s="246">
        <v>0</v>
      </c>
      <c r="H10" s="246">
        <v>0</v>
      </c>
      <c r="I10" s="246">
        <v>7448000</v>
      </c>
      <c r="J10" s="246"/>
      <c r="K10" s="246"/>
      <c r="L10" s="274"/>
      <c r="M10" s="274"/>
      <c r="N10" s="274"/>
      <c r="O10" s="274"/>
      <c r="P10" s="274"/>
      <c r="Q10" s="274"/>
      <c r="R10" s="853"/>
      <c r="S10" s="274">
        <f t="shared" si="0"/>
        <v>0</v>
      </c>
    </row>
    <row r="11" spans="1:19" ht="27.95" customHeight="1">
      <c r="A11" s="392">
        <v>22101</v>
      </c>
      <c r="B11" s="246" t="s">
        <v>33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7448000</v>
      </c>
      <c r="J11" s="246">
        <v>0</v>
      </c>
      <c r="K11" s="246">
        <v>40000000</v>
      </c>
      <c r="L11" s="274">
        <v>5000000</v>
      </c>
      <c r="M11" s="274">
        <f>5000000*70%</f>
        <v>3500000</v>
      </c>
      <c r="N11" s="274">
        <f>5000000*70%</f>
        <v>3500000</v>
      </c>
      <c r="O11" s="274">
        <f>5000000*70%</f>
        <v>3500000</v>
      </c>
      <c r="P11" s="274">
        <f>5000000*70%</f>
        <v>3500000</v>
      </c>
      <c r="Q11" s="274">
        <v>20000000</v>
      </c>
      <c r="R11" s="853">
        <v>20000000</v>
      </c>
      <c r="S11" s="274">
        <f t="shared" si="0"/>
        <v>0</v>
      </c>
    </row>
    <row r="12" spans="1:19" ht="27.95" customHeight="1">
      <c r="A12" s="392">
        <v>22104</v>
      </c>
      <c r="B12" s="246" t="s">
        <v>157</v>
      </c>
      <c r="C12" s="246"/>
      <c r="D12" s="246"/>
      <c r="E12" s="246"/>
      <c r="F12" s="246"/>
      <c r="G12" s="246"/>
      <c r="H12" s="246"/>
      <c r="I12" s="246">
        <v>37240000</v>
      </c>
      <c r="J12" s="246">
        <v>0</v>
      </c>
      <c r="K12" s="246">
        <v>15000000</v>
      </c>
      <c r="L12" s="274">
        <v>34612616</v>
      </c>
      <c r="M12" s="274">
        <f t="shared" ref="M12:Q12" si="2">34612616*70%</f>
        <v>24228831.199999999</v>
      </c>
      <c r="N12" s="274">
        <f t="shared" si="2"/>
        <v>24228831.199999999</v>
      </c>
      <c r="O12" s="274">
        <f t="shared" si="2"/>
        <v>24228831.199999999</v>
      </c>
      <c r="P12" s="274">
        <f t="shared" si="2"/>
        <v>24228831.199999999</v>
      </c>
      <c r="Q12" s="274">
        <f t="shared" si="2"/>
        <v>24228831.199999999</v>
      </c>
      <c r="R12" s="853">
        <v>36000000</v>
      </c>
      <c r="S12" s="274">
        <f t="shared" si="0"/>
        <v>11771168.800000001</v>
      </c>
    </row>
    <row r="13" spans="1:19" ht="27.95" customHeight="1">
      <c r="A13" s="392">
        <v>22106</v>
      </c>
      <c r="B13" s="246" t="s">
        <v>126</v>
      </c>
      <c r="C13" s="246">
        <v>0</v>
      </c>
      <c r="D13" s="246">
        <v>4000000</v>
      </c>
      <c r="E13" s="246">
        <v>8000000</v>
      </c>
      <c r="F13" s="246">
        <v>17000000</v>
      </c>
      <c r="G13" s="246">
        <v>12661600</v>
      </c>
      <c r="H13" s="246">
        <v>25000000</v>
      </c>
      <c r="I13" s="280">
        <f>SUM(I8:I12)</f>
        <v>52136000</v>
      </c>
      <c r="J13" s="246">
        <v>0</v>
      </c>
      <c r="K13" s="246">
        <v>0</v>
      </c>
      <c r="L13" s="274">
        <v>7000000</v>
      </c>
      <c r="M13" s="274">
        <f>7000000*70%</f>
        <v>4900000</v>
      </c>
      <c r="N13" s="274">
        <v>0</v>
      </c>
      <c r="O13" s="274">
        <v>0</v>
      </c>
      <c r="P13" s="274">
        <v>0</v>
      </c>
      <c r="Q13" s="274">
        <v>0</v>
      </c>
      <c r="R13" s="853">
        <v>0</v>
      </c>
      <c r="S13" s="274">
        <f t="shared" si="0"/>
        <v>0</v>
      </c>
    </row>
    <row r="14" spans="1:19" ht="27.95" customHeight="1">
      <c r="A14" s="392">
        <v>22107</v>
      </c>
      <c r="B14" s="246" t="s">
        <v>342</v>
      </c>
      <c r="C14" s="246"/>
      <c r="D14" s="246"/>
      <c r="E14" s="246"/>
      <c r="F14" s="246"/>
      <c r="G14" s="246"/>
      <c r="H14" s="246"/>
      <c r="I14" s="280"/>
      <c r="J14" s="246"/>
      <c r="K14" s="246"/>
      <c r="L14" s="274"/>
      <c r="M14" s="274"/>
      <c r="N14" s="274"/>
      <c r="O14" s="274"/>
      <c r="P14" s="274"/>
      <c r="Q14" s="274">
        <v>7000000</v>
      </c>
      <c r="R14" s="853">
        <v>7000000</v>
      </c>
      <c r="S14" s="274">
        <f t="shared" si="0"/>
        <v>0</v>
      </c>
    </row>
    <row r="15" spans="1:19" s="530" customFormat="1" ht="27.95" customHeight="1">
      <c r="A15" s="392">
        <v>22109</v>
      </c>
      <c r="B15" s="246" t="s">
        <v>136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/>
      <c r="J15" s="246">
        <v>0</v>
      </c>
      <c r="K15" s="246">
        <v>5000000</v>
      </c>
      <c r="L15" s="274">
        <v>10000000</v>
      </c>
      <c r="M15" s="274">
        <f t="shared" ref="M15:R15" si="3">10000000*70%</f>
        <v>7000000</v>
      </c>
      <c r="N15" s="274">
        <f t="shared" si="3"/>
        <v>7000000</v>
      </c>
      <c r="O15" s="274">
        <f t="shared" si="3"/>
        <v>7000000</v>
      </c>
      <c r="P15" s="274">
        <f t="shared" si="3"/>
        <v>7000000</v>
      </c>
      <c r="Q15" s="274">
        <f t="shared" si="3"/>
        <v>7000000</v>
      </c>
      <c r="R15" s="853">
        <f t="shared" si="3"/>
        <v>7000000</v>
      </c>
      <c r="S15" s="274">
        <f t="shared" si="0"/>
        <v>0</v>
      </c>
    </row>
    <row r="16" spans="1:19" ht="27.95" customHeight="1">
      <c r="A16" s="392">
        <v>22112</v>
      </c>
      <c r="B16" s="246" t="s">
        <v>35</v>
      </c>
      <c r="C16" s="246" t="s">
        <v>4</v>
      </c>
      <c r="D16" s="246">
        <v>0</v>
      </c>
      <c r="E16" s="246">
        <v>0</v>
      </c>
      <c r="F16" s="246">
        <v>3000000</v>
      </c>
      <c r="G16" s="246">
        <v>2234400</v>
      </c>
      <c r="H16" s="246">
        <v>2234400</v>
      </c>
      <c r="I16" s="246">
        <v>0</v>
      </c>
      <c r="J16" s="246">
        <v>0</v>
      </c>
      <c r="K16" s="246">
        <v>12000000</v>
      </c>
      <c r="L16" s="274">
        <v>8000000</v>
      </c>
      <c r="M16" s="274">
        <f>8000000*70%</f>
        <v>5600000</v>
      </c>
      <c r="N16" s="274">
        <f>8000000*70%</f>
        <v>5600000</v>
      </c>
      <c r="O16" s="274">
        <f>8000000*70%</f>
        <v>5600000</v>
      </c>
      <c r="P16" s="274">
        <v>15600000</v>
      </c>
      <c r="Q16" s="274">
        <v>15600000</v>
      </c>
      <c r="R16" s="853">
        <v>15600000</v>
      </c>
      <c r="S16" s="274">
        <f t="shared" si="0"/>
        <v>0</v>
      </c>
    </row>
    <row r="17" spans="1:19" ht="27.95" customHeight="1">
      <c r="A17" s="392">
        <v>22129</v>
      </c>
      <c r="B17" s="246" t="s">
        <v>143</v>
      </c>
      <c r="C17" s="246"/>
      <c r="D17" s="246"/>
      <c r="E17" s="246"/>
      <c r="F17" s="246"/>
      <c r="G17" s="246">
        <v>0</v>
      </c>
      <c r="H17" s="246">
        <v>100000000</v>
      </c>
      <c r="I17" s="246">
        <v>90000000</v>
      </c>
      <c r="J17" s="246">
        <v>0</v>
      </c>
      <c r="K17" s="246">
        <v>3000000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  <c r="R17" s="853">
        <v>0</v>
      </c>
      <c r="S17" s="274">
        <f t="shared" si="0"/>
        <v>0</v>
      </c>
    </row>
    <row r="18" spans="1:19" ht="27.95" customHeight="1">
      <c r="A18" s="392">
        <v>22137</v>
      </c>
      <c r="B18" s="246" t="s">
        <v>1187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74"/>
      <c r="M18" s="274"/>
      <c r="N18" s="274"/>
      <c r="O18" s="274"/>
      <c r="P18" s="274"/>
      <c r="Q18" s="274">
        <v>8000000</v>
      </c>
      <c r="R18" s="853">
        <v>50000000</v>
      </c>
      <c r="S18" s="274">
        <f t="shared" si="0"/>
        <v>42000000</v>
      </c>
    </row>
    <row r="19" spans="1:19" ht="27.95" customHeight="1">
      <c r="A19" s="392">
        <v>22167</v>
      </c>
      <c r="B19" s="246" t="s">
        <v>816</v>
      </c>
      <c r="C19" s="280">
        <v>0</v>
      </c>
      <c r="D19" s="280">
        <f>SUM(D13:D16)</f>
        <v>4000000</v>
      </c>
      <c r="E19" s="280">
        <f>SUM(E13:E16)</f>
        <v>8000000</v>
      </c>
      <c r="F19" s="280">
        <f>SUM(F13:F16)</f>
        <v>20000000</v>
      </c>
      <c r="G19" s="280">
        <f>SUM(G13:G17)</f>
        <v>14896000</v>
      </c>
      <c r="H19" s="280">
        <f>SUM(H13:H17)</f>
        <v>127234400</v>
      </c>
      <c r="I19" s="246">
        <v>11172000</v>
      </c>
      <c r="J19" s="246">
        <v>0</v>
      </c>
      <c r="K19" s="246">
        <v>10000000</v>
      </c>
      <c r="L19" s="274">
        <v>20000000</v>
      </c>
      <c r="M19" s="274">
        <v>320000000</v>
      </c>
      <c r="N19" s="274">
        <v>50000000</v>
      </c>
      <c r="O19" s="274">
        <v>80000000</v>
      </c>
      <c r="P19" s="274">
        <v>100000000</v>
      </c>
      <c r="Q19" s="274">
        <v>100000000</v>
      </c>
      <c r="R19" s="853">
        <v>100000000</v>
      </c>
      <c r="S19" s="274">
        <f t="shared" si="0"/>
        <v>0</v>
      </c>
    </row>
    <row r="20" spans="1:19" ht="27.95" customHeight="1">
      <c r="A20" s="392"/>
      <c r="B20" s="280" t="s">
        <v>92</v>
      </c>
      <c r="C20" s="246" t="s">
        <v>4</v>
      </c>
      <c r="D20" s="246"/>
      <c r="E20" s="246"/>
      <c r="F20" s="246"/>
      <c r="G20" s="246"/>
      <c r="H20" s="246"/>
      <c r="I20" s="246">
        <v>3724000</v>
      </c>
      <c r="J20" s="280">
        <f>SUM(J9:J19)</f>
        <v>0</v>
      </c>
      <c r="K20" s="280">
        <f t="shared" ref="K20:P20" si="4">SUM(K11:K19)</f>
        <v>85000000</v>
      </c>
      <c r="L20" s="279">
        <f t="shared" si="4"/>
        <v>84612616</v>
      </c>
      <c r="M20" s="279">
        <f t="shared" si="4"/>
        <v>365228831.19999999</v>
      </c>
      <c r="N20" s="279">
        <f t="shared" si="4"/>
        <v>90328831.200000003</v>
      </c>
      <c r="O20" s="279">
        <f t="shared" si="4"/>
        <v>120328831.2</v>
      </c>
      <c r="P20" s="279">
        <f t="shared" si="4"/>
        <v>150328831.19999999</v>
      </c>
      <c r="Q20" s="279">
        <f>SUM(Q11:Q19)</f>
        <v>181828831.19999999</v>
      </c>
      <c r="R20" s="850">
        <f>SUM(R11:R19)</f>
        <v>235600000</v>
      </c>
      <c r="S20" s="279">
        <f t="shared" si="0"/>
        <v>53771168.800000012</v>
      </c>
    </row>
    <row r="21" spans="1:19" s="530" customFormat="1" ht="27.95" customHeight="1">
      <c r="A21" s="476">
        <v>2220</v>
      </c>
      <c r="B21" s="280" t="s">
        <v>240</v>
      </c>
      <c r="C21" s="246">
        <v>0</v>
      </c>
      <c r="D21" s="246">
        <v>6000000</v>
      </c>
      <c r="E21" s="246">
        <v>7200000</v>
      </c>
      <c r="F21" s="246">
        <v>10000000</v>
      </c>
      <c r="G21" s="246">
        <v>11172000</v>
      </c>
      <c r="H21" s="246">
        <v>11172000</v>
      </c>
      <c r="I21" s="280">
        <f>SUM(I16:I20)</f>
        <v>104896000</v>
      </c>
      <c r="J21" s="280"/>
      <c r="K21" s="280"/>
      <c r="L21" s="274"/>
      <c r="M21" s="274"/>
      <c r="N21" s="274"/>
      <c r="O21" s="274"/>
      <c r="P21" s="274"/>
      <c r="Q21" s="274"/>
      <c r="R21" s="853"/>
      <c r="S21" s="274">
        <f t="shared" si="0"/>
        <v>0</v>
      </c>
    </row>
    <row r="22" spans="1:19" ht="27.95" customHeight="1">
      <c r="A22" s="392">
        <v>22202</v>
      </c>
      <c r="B22" s="246" t="s">
        <v>133</v>
      </c>
      <c r="C22" s="246">
        <v>0</v>
      </c>
      <c r="D22" s="246">
        <v>17000000</v>
      </c>
      <c r="E22" s="246">
        <v>9734400</v>
      </c>
      <c r="F22" s="246">
        <v>20000000</v>
      </c>
      <c r="G22" s="246">
        <v>18620000</v>
      </c>
      <c r="H22" s="246">
        <v>30000000</v>
      </c>
      <c r="I22" s="246"/>
      <c r="J22" s="246">
        <v>0</v>
      </c>
      <c r="K22" s="246">
        <v>150000000</v>
      </c>
      <c r="L22" s="274">
        <v>90936000</v>
      </c>
      <c r="M22" s="274">
        <f>90936000*70%</f>
        <v>63655199.999999993</v>
      </c>
      <c r="N22" s="274">
        <v>100924160</v>
      </c>
      <c r="O22" s="274">
        <v>100924160</v>
      </c>
      <c r="P22" s="274">
        <v>100924160</v>
      </c>
      <c r="Q22" s="274">
        <v>100924160</v>
      </c>
      <c r="R22" s="853">
        <v>100924160</v>
      </c>
      <c r="S22" s="274">
        <f t="shared" si="0"/>
        <v>0</v>
      </c>
    </row>
    <row r="23" spans="1:19" ht="27.95" customHeight="1">
      <c r="A23" s="392">
        <v>22203</v>
      </c>
      <c r="B23" s="246" t="s">
        <v>127</v>
      </c>
      <c r="C23" s="246">
        <v>0</v>
      </c>
      <c r="D23" s="246">
        <v>0</v>
      </c>
      <c r="E23" s="246">
        <v>14592000</v>
      </c>
      <c r="F23" s="246">
        <v>0</v>
      </c>
      <c r="G23" s="246">
        <v>0</v>
      </c>
      <c r="H23" s="246">
        <v>10000000</v>
      </c>
      <c r="I23" s="246">
        <v>0</v>
      </c>
      <c r="J23" s="246">
        <v>0</v>
      </c>
      <c r="K23" s="246">
        <v>18000000</v>
      </c>
      <c r="L23" s="274">
        <v>12000000</v>
      </c>
      <c r="M23" s="274">
        <f>12000000*70%</f>
        <v>8400000</v>
      </c>
      <c r="N23" s="274">
        <v>23400000</v>
      </c>
      <c r="O23" s="274">
        <v>23400000</v>
      </c>
      <c r="P23" s="274">
        <v>23400000</v>
      </c>
      <c r="Q23" s="274">
        <v>23400000</v>
      </c>
      <c r="R23" s="853">
        <v>23400000</v>
      </c>
      <c r="S23" s="274">
        <f t="shared" si="0"/>
        <v>0</v>
      </c>
    </row>
    <row r="24" spans="1:19" ht="27.95" customHeight="1">
      <c r="A24" s="392">
        <v>22204</v>
      </c>
      <c r="B24" s="246" t="s">
        <v>128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3000000</v>
      </c>
      <c r="L24" s="274">
        <v>4000000</v>
      </c>
      <c r="M24" s="274">
        <f t="shared" ref="M24:Q24" si="5">4000000*70%</f>
        <v>2800000</v>
      </c>
      <c r="N24" s="274">
        <f t="shared" si="5"/>
        <v>2800000</v>
      </c>
      <c r="O24" s="274">
        <f t="shared" si="5"/>
        <v>2800000</v>
      </c>
      <c r="P24" s="274">
        <f t="shared" si="5"/>
        <v>2800000</v>
      </c>
      <c r="Q24" s="274">
        <f t="shared" si="5"/>
        <v>2800000</v>
      </c>
      <c r="R24" s="853">
        <v>4200000</v>
      </c>
      <c r="S24" s="274">
        <f t="shared" si="0"/>
        <v>1400000</v>
      </c>
    </row>
    <row r="25" spans="1:19" ht="27.95" customHeight="1">
      <c r="A25" s="392">
        <v>22208</v>
      </c>
      <c r="B25" s="246" t="s">
        <v>336</v>
      </c>
      <c r="C25" s="246"/>
      <c r="D25" s="246"/>
      <c r="E25" s="246"/>
      <c r="F25" s="246"/>
      <c r="G25" s="246"/>
      <c r="H25" s="246"/>
      <c r="I25" s="246"/>
      <c r="J25" s="246">
        <v>0</v>
      </c>
      <c r="K25" s="246">
        <v>1500000</v>
      </c>
      <c r="L25" s="274">
        <v>0</v>
      </c>
      <c r="M25" s="274">
        <v>0</v>
      </c>
      <c r="N25" s="274">
        <v>0</v>
      </c>
      <c r="O25" s="274">
        <v>0</v>
      </c>
      <c r="P25" s="274">
        <v>0</v>
      </c>
      <c r="Q25" s="274">
        <v>0</v>
      </c>
      <c r="R25" s="853">
        <v>0</v>
      </c>
      <c r="S25" s="274">
        <f t="shared" si="0"/>
        <v>0</v>
      </c>
    </row>
    <row r="26" spans="1:19" s="530" customFormat="1" ht="27.95" customHeight="1">
      <c r="A26" s="392"/>
      <c r="B26" s="280" t="s">
        <v>92</v>
      </c>
      <c r="C26" s="246">
        <v>0</v>
      </c>
      <c r="D26" s="246">
        <v>0</v>
      </c>
      <c r="E26" s="246"/>
      <c r="F26" s="246">
        <v>0</v>
      </c>
      <c r="G26" s="246">
        <v>0</v>
      </c>
      <c r="H26" s="246">
        <v>0</v>
      </c>
      <c r="I26" s="246">
        <v>4468800</v>
      </c>
      <c r="J26" s="280">
        <v>0</v>
      </c>
      <c r="K26" s="280">
        <f t="shared" ref="K26:P26" si="6">SUM(K22:K25)</f>
        <v>172500000</v>
      </c>
      <c r="L26" s="279">
        <f t="shared" si="6"/>
        <v>106936000</v>
      </c>
      <c r="M26" s="279">
        <f t="shared" si="6"/>
        <v>74855200</v>
      </c>
      <c r="N26" s="279">
        <f t="shared" si="6"/>
        <v>127124160</v>
      </c>
      <c r="O26" s="279">
        <f t="shared" si="6"/>
        <v>127124160</v>
      </c>
      <c r="P26" s="279">
        <f t="shared" si="6"/>
        <v>127124160</v>
      </c>
      <c r="Q26" s="279">
        <f>SUM(Q22:Q25)</f>
        <v>127124160</v>
      </c>
      <c r="R26" s="850">
        <f>SUM(R22:R25)</f>
        <v>128524160</v>
      </c>
      <c r="S26" s="279">
        <f t="shared" si="0"/>
        <v>1400000</v>
      </c>
    </row>
    <row r="27" spans="1:19" ht="27.95" customHeight="1">
      <c r="A27" s="476">
        <v>2230</v>
      </c>
      <c r="B27" s="280" t="s">
        <v>130</v>
      </c>
      <c r="C27" s="246">
        <v>0</v>
      </c>
      <c r="D27" s="246">
        <v>0</v>
      </c>
      <c r="E27" s="246"/>
      <c r="F27" s="246">
        <v>0</v>
      </c>
      <c r="G27" s="246">
        <v>0</v>
      </c>
      <c r="H27" s="246">
        <v>0</v>
      </c>
      <c r="I27" s="280">
        <f>SUM(I23:I26)</f>
        <v>4468800</v>
      </c>
      <c r="J27" s="280"/>
      <c r="K27" s="280"/>
      <c r="L27" s="274"/>
      <c r="M27" s="274"/>
      <c r="N27" s="274"/>
      <c r="O27" s="274"/>
      <c r="P27" s="274"/>
      <c r="Q27" s="274"/>
      <c r="R27" s="853"/>
      <c r="S27" s="274">
        <f t="shared" si="0"/>
        <v>0</v>
      </c>
    </row>
    <row r="28" spans="1:19" ht="27.95" customHeight="1">
      <c r="A28" s="392">
        <v>22301</v>
      </c>
      <c r="B28" s="246" t="s">
        <v>49</v>
      </c>
      <c r="C28" s="246">
        <v>0</v>
      </c>
      <c r="D28" s="246">
        <v>0</v>
      </c>
      <c r="E28" s="246"/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15000000</v>
      </c>
      <c r="L28" s="274">
        <v>20000000</v>
      </c>
      <c r="M28" s="274">
        <f>20000000*70%</f>
        <v>14000000</v>
      </c>
      <c r="N28" s="274">
        <v>20000000</v>
      </c>
      <c r="O28" s="274">
        <v>20000000</v>
      </c>
      <c r="P28" s="274">
        <v>20000000</v>
      </c>
      <c r="Q28" s="274">
        <v>20000000</v>
      </c>
      <c r="R28" s="853">
        <v>40000000</v>
      </c>
      <c r="S28" s="274">
        <f t="shared" si="0"/>
        <v>20000000</v>
      </c>
    </row>
    <row r="29" spans="1:19" ht="27.95" customHeight="1">
      <c r="A29" s="392">
        <v>22302</v>
      </c>
      <c r="B29" s="246" t="s">
        <v>249</v>
      </c>
      <c r="C29" s="246">
        <v>0</v>
      </c>
      <c r="D29" s="246">
        <v>5000000</v>
      </c>
      <c r="E29" s="246">
        <v>6400000</v>
      </c>
      <c r="F29" s="246">
        <v>10000000</v>
      </c>
      <c r="G29" s="246">
        <v>7448000</v>
      </c>
      <c r="H29" s="246">
        <v>7448000</v>
      </c>
      <c r="I29" s="246">
        <v>12661600</v>
      </c>
      <c r="J29" s="246">
        <v>0</v>
      </c>
      <c r="K29" s="246">
        <v>0</v>
      </c>
      <c r="L29" s="274">
        <v>0</v>
      </c>
      <c r="M29" s="274">
        <v>0</v>
      </c>
      <c r="N29" s="274">
        <v>60000000</v>
      </c>
      <c r="O29" s="274">
        <v>60000000</v>
      </c>
      <c r="P29" s="274">
        <v>0</v>
      </c>
      <c r="Q29" s="274">
        <v>0</v>
      </c>
      <c r="R29" s="853">
        <v>0</v>
      </c>
      <c r="S29" s="274">
        <f t="shared" si="0"/>
        <v>0</v>
      </c>
    </row>
    <row r="30" spans="1:19" ht="27.95" customHeight="1">
      <c r="A30" s="392">
        <v>22313</v>
      </c>
      <c r="B30" s="246" t="s">
        <v>251</v>
      </c>
      <c r="C30" s="246">
        <v>0</v>
      </c>
      <c r="D30" s="246">
        <v>0</v>
      </c>
      <c r="E30" s="246">
        <v>28000000</v>
      </c>
      <c r="F30" s="246">
        <v>40000000</v>
      </c>
      <c r="G30" s="246">
        <v>37240000</v>
      </c>
      <c r="H30" s="246">
        <v>75000000</v>
      </c>
      <c r="I30" s="246">
        <v>0</v>
      </c>
      <c r="J30" s="246">
        <v>0</v>
      </c>
      <c r="K30" s="246">
        <v>0</v>
      </c>
      <c r="L30" s="274">
        <v>5000000</v>
      </c>
      <c r="M30" s="274">
        <f t="shared" ref="M30:R30" si="7">5000000*70%</f>
        <v>3500000</v>
      </c>
      <c r="N30" s="274">
        <f t="shared" si="7"/>
        <v>3500000</v>
      </c>
      <c r="O30" s="274">
        <f t="shared" si="7"/>
        <v>3500000</v>
      </c>
      <c r="P30" s="274">
        <f t="shared" si="7"/>
        <v>3500000</v>
      </c>
      <c r="Q30" s="274">
        <f t="shared" si="7"/>
        <v>3500000</v>
      </c>
      <c r="R30" s="853">
        <f t="shared" si="7"/>
        <v>3500000</v>
      </c>
      <c r="S30" s="274">
        <f t="shared" si="0"/>
        <v>0</v>
      </c>
    </row>
    <row r="31" spans="1:19" ht="27.95" customHeight="1">
      <c r="A31" s="392"/>
      <c r="B31" s="280" t="s">
        <v>92</v>
      </c>
      <c r="C31" s="246"/>
      <c r="D31" s="246"/>
      <c r="E31" s="246"/>
      <c r="F31" s="246">
        <v>0</v>
      </c>
      <c r="G31" s="246">
        <v>0</v>
      </c>
      <c r="H31" s="246">
        <v>0</v>
      </c>
      <c r="I31" s="280">
        <f>SUM(I28:I30)</f>
        <v>12661600</v>
      </c>
      <c r="J31" s="280">
        <v>0</v>
      </c>
      <c r="K31" s="280">
        <f t="shared" ref="K31:O31" si="8">SUM(K28:K30)</f>
        <v>15000000</v>
      </c>
      <c r="L31" s="279">
        <f t="shared" si="8"/>
        <v>25000000</v>
      </c>
      <c r="M31" s="279">
        <f t="shared" si="8"/>
        <v>17500000</v>
      </c>
      <c r="N31" s="279">
        <f t="shared" si="8"/>
        <v>83500000</v>
      </c>
      <c r="O31" s="279">
        <f t="shared" si="8"/>
        <v>83500000</v>
      </c>
      <c r="P31" s="279">
        <f>SUM(P28:P30)</f>
        <v>23500000</v>
      </c>
      <c r="Q31" s="279">
        <f>SUM(Q28:Q30)</f>
        <v>23500000</v>
      </c>
      <c r="R31" s="850">
        <f>SUM(R28:R30)</f>
        <v>43500000</v>
      </c>
      <c r="S31" s="279">
        <f t="shared" si="0"/>
        <v>20000000</v>
      </c>
    </row>
    <row r="32" spans="1:19" s="650" customFormat="1" ht="27.95" customHeight="1">
      <c r="A32" s="476">
        <v>270</v>
      </c>
      <c r="B32" s="280" t="s">
        <v>253</v>
      </c>
      <c r="C32" s="280">
        <v>0</v>
      </c>
      <c r="D32" s="280">
        <f>SUM(D21:D30)</f>
        <v>28000000</v>
      </c>
      <c r="E32" s="280">
        <f>SUM(E21:E30)</f>
        <v>65926400</v>
      </c>
      <c r="F32" s="280">
        <f>SUM(F21:F31)</f>
        <v>80000000</v>
      </c>
      <c r="G32" s="280">
        <f>SUM(G21:G31)</f>
        <v>74480000</v>
      </c>
      <c r="H32" s="280">
        <f>SUM(H21:H31)</f>
        <v>133620000</v>
      </c>
      <c r="I32" s="280" t="e">
        <f>I31+I27+I21+I13+#REF!</f>
        <v>#REF!</v>
      </c>
      <c r="J32" s="280"/>
      <c r="K32" s="280"/>
      <c r="L32" s="274"/>
      <c r="M32" s="274"/>
      <c r="N32" s="274"/>
      <c r="O32" s="274"/>
      <c r="P32" s="274"/>
      <c r="Q32" s="274"/>
      <c r="R32" s="853"/>
      <c r="S32" s="274">
        <f t="shared" si="0"/>
        <v>0</v>
      </c>
    </row>
    <row r="33" spans="1:20" ht="27.95" customHeight="1">
      <c r="A33" s="476">
        <v>2710</v>
      </c>
      <c r="B33" s="280" t="s">
        <v>252</v>
      </c>
      <c r="C33" s="246"/>
      <c r="D33" s="246">
        <v>0</v>
      </c>
      <c r="E33" s="246"/>
      <c r="F33" s="246"/>
      <c r="G33" s="246"/>
      <c r="H33" s="246"/>
      <c r="I33" s="246"/>
      <c r="J33" s="305"/>
      <c r="K33" s="305"/>
      <c r="L33" s="274"/>
      <c r="M33" s="274"/>
      <c r="N33" s="274"/>
      <c r="O33" s="274"/>
      <c r="P33" s="274"/>
      <c r="Q33" s="274"/>
      <c r="R33" s="853"/>
      <c r="S33" s="274">
        <f t="shared" si="0"/>
        <v>0</v>
      </c>
    </row>
    <row r="34" spans="1:20" ht="27.95" customHeight="1">
      <c r="A34" s="392">
        <v>27601</v>
      </c>
      <c r="B34" s="246" t="s">
        <v>264</v>
      </c>
      <c r="C34" s="246"/>
      <c r="D34" s="246" t="e">
        <f>#REF!-D33</f>
        <v>#REF!</v>
      </c>
      <c r="E34" s="246"/>
      <c r="F34" s="246"/>
      <c r="G34" s="246"/>
      <c r="H34" s="246"/>
      <c r="I34" s="246"/>
      <c r="J34" s="246">
        <v>0</v>
      </c>
      <c r="K34" s="246">
        <v>0</v>
      </c>
      <c r="L34" s="274">
        <v>0</v>
      </c>
      <c r="M34" s="274">
        <v>0</v>
      </c>
      <c r="N34" s="274">
        <v>0</v>
      </c>
      <c r="O34" s="274">
        <v>0</v>
      </c>
      <c r="P34" s="274">
        <v>0</v>
      </c>
      <c r="Q34" s="274">
        <v>0</v>
      </c>
      <c r="R34" s="853">
        <v>75000000</v>
      </c>
      <c r="S34" s="274">
        <f t="shared" si="0"/>
        <v>75000000</v>
      </c>
    </row>
    <row r="35" spans="1:20" ht="27.95" customHeight="1">
      <c r="A35" s="392">
        <v>27402</v>
      </c>
      <c r="B35" s="246" t="s">
        <v>265</v>
      </c>
      <c r="C35" s="292"/>
      <c r="D35" s="292"/>
      <c r="E35" s="292"/>
      <c r="F35" s="292"/>
      <c r="G35" s="292"/>
      <c r="H35" s="292"/>
      <c r="I35" s="292"/>
      <c r="J35" s="246">
        <v>0</v>
      </c>
      <c r="K35" s="246">
        <v>0</v>
      </c>
      <c r="L35" s="274">
        <v>0</v>
      </c>
      <c r="M35" s="274">
        <v>0</v>
      </c>
      <c r="N35" s="274">
        <v>120000000</v>
      </c>
      <c r="O35" s="274">
        <v>0</v>
      </c>
      <c r="P35" s="274">
        <v>120000000</v>
      </c>
      <c r="Q35" s="274">
        <v>0</v>
      </c>
      <c r="R35" s="853">
        <v>0</v>
      </c>
      <c r="S35" s="274">
        <f t="shared" si="0"/>
        <v>0</v>
      </c>
    </row>
    <row r="36" spans="1:20" s="530" customFormat="1" ht="27.95" customHeight="1">
      <c r="A36" s="392">
        <v>27502</v>
      </c>
      <c r="B36" s="246" t="s">
        <v>148</v>
      </c>
      <c r="C36" s="292"/>
      <c r="D36" s="292"/>
      <c r="E36" s="292"/>
      <c r="F36" s="292"/>
      <c r="G36" s="292"/>
      <c r="H36" s="292"/>
      <c r="I36" s="292"/>
      <c r="J36" s="246">
        <v>0</v>
      </c>
      <c r="K36" s="290">
        <v>2000000</v>
      </c>
      <c r="L36" s="274">
        <v>0</v>
      </c>
      <c r="M36" s="274">
        <v>0</v>
      </c>
      <c r="N36" s="274">
        <v>0</v>
      </c>
      <c r="O36" s="274">
        <v>0</v>
      </c>
      <c r="P36" s="274">
        <v>0</v>
      </c>
      <c r="Q36" s="274">
        <v>0</v>
      </c>
      <c r="R36" s="853">
        <v>0</v>
      </c>
      <c r="S36" s="274">
        <f t="shared" si="0"/>
        <v>0</v>
      </c>
      <c r="T36" s="615"/>
    </row>
    <row r="37" spans="1:20" ht="27.95" customHeight="1">
      <c r="A37" s="392">
        <v>27604</v>
      </c>
      <c r="B37" s="246" t="s">
        <v>149</v>
      </c>
      <c r="C37" s="292"/>
      <c r="D37" s="292"/>
      <c r="E37" s="292"/>
      <c r="F37" s="292"/>
      <c r="G37" s="292"/>
      <c r="H37" s="292"/>
      <c r="I37" s="292"/>
      <c r="J37" s="246">
        <v>0</v>
      </c>
      <c r="K37" s="290">
        <v>3000000</v>
      </c>
      <c r="L37" s="274">
        <v>0</v>
      </c>
      <c r="M37" s="274">
        <v>0</v>
      </c>
      <c r="N37" s="274">
        <v>0</v>
      </c>
      <c r="O37" s="274">
        <v>0</v>
      </c>
      <c r="P37" s="274">
        <v>0</v>
      </c>
      <c r="Q37" s="274">
        <v>0</v>
      </c>
      <c r="R37" s="853">
        <v>0</v>
      </c>
      <c r="S37" s="274">
        <f t="shared" si="0"/>
        <v>0</v>
      </c>
    </row>
    <row r="38" spans="1:20" ht="27.95" customHeight="1">
      <c r="A38" s="392"/>
      <c r="B38" s="280" t="s">
        <v>92</v>
      </c>
      <c r="C38" s="292"/>
      <c r="D38" s="292"/>
      <c r="E38" s="292"/>
      <c r="F38" s="292"/>
      <c r="G38" s="292"/>
      <c r="H38" s="292"/>
      <c r="I38" s="292"/>
      <c r="J38" s="246"/>
      <c r="K38" s="290"/>
      <c r="L38" s="274"/>
      <c r="M38" s="274"/>
      <c r="N38" s="274"/>
      <c r="O38" s="274"/>
      <c r="P38" s="279">
        <f>SUM(P34:P37)</f>
        <v>120000000</v>
      </c>
      <c r="Q38" s="279">
        <f>SUM(Q34:Q37)</f>
        <v>0</v>
      </c>
      <c r="R38" s="850">
        <f>SUM(R34:R37)</f>
        <v>75000000</v>
      </c>
      <c r="S38" s="279">
        <f t="shared" si="0"/>
        <v>75000000</v>
      </c>
    </row>
    <row r="39" spans="1:20" ht="27.95" customHeight="1">
      <c r="A39" s="476">
        <v>2720</v>
      </c>
      <c r="B39" s="280" t="s">
        <v>1079</v>
      </c>
      <c r="C39" s="292"/>
      <c r="D39" s="292"/>
      <c r="E39" s="292"/>
      <c r="F39" s="292"/>
      <c r="G39" s="292"/>
      <c r="H39" s="292"/>
      <c r="I39" s="292"/>
      <c r="J39" s="246"/>
      <c r="K39" s="290"/>
      <c r="L39" s="274"/>
      <c r="M39" s="274"/>
      <c r="N39" s="274"/>
      <c r="O39" s="274"/>
      <c r="P39" s="274"/>
      <c r="Q39" s="274"/>
      <c r="R39" s="853"/>
      <c r="S39" s="274">
        <f t="shared" si="0"/>
        <v>0</v>
      </c>
    </row>
    <row r="40" spans="1:20" ht="27.95" customHeight="1">
      <c r="A40" s="392">
        <v>27202</v>
      </c>
      <c r="B40" s="246" t="s">
        <v>1188</v>
      </c>
      <c r="C40" s="292"/>
      <c r="D40" s="292"/>
      <c r="E40" s="292"/>
      <c r="F40" s="292"/>
      <c r="G40" s="292"/>
      <c r="H40" s="292"/>
      <c r="I40" s="292"/>
      <c r="J40" s="246"/>
      <c r="K40" s="290"/>
      <c r="L40" s="274"/>
      <c r="M40" s="274"/>
      <c r="N40" s="274"/>
      <c r="O40" s="274"/>
      <c r="P40" s="274">
        <v>0</v>
      </c>
      <c r="Q40" s="274">
        <v>1200000000</v>
      </c>
      <c r="R40" s="853">
        <v>500000000</v>
      </c>
      <c r="S40" s="274">
        <f t="shared" si="0"/>
        <v>-700000000</v>
      </c>
    </row>
    <row r="41" spans="1:20" ht="27.95" customHeight="1">
      <c r="A41" s="392"/>
      <c r="B41" s="280" t="s">
        <v>92</v>
      </c>
      <c r="C41" s="292"/>
      <c r="D41" s="292"/>
      <c r="E41" s="292"/>
      <c r="F41" s="292"/>
      <c r="G41" s="292"/>
      <c r="H41" s="292"/>
      <c r="I41" s="292"/>
      <c r="J41" s="280">
        <v>0</v>
      </c>
      <c r="K41" s="291">
        <f t="shared" ref="K41:O41" si="9">SUM(K34:K37)</f>
        <v>5000000</v>
      </c>
      <c r="L41" s="279">
        <f t="shared" si="9"/>
        <v>0</v>
      </c>
      <c r="M41" s="279">
        <f t="shared" si="9"/>
        <v>0</v>
      </c>
      <c r="N41" s="279">
        <f t="shared" si="9"/>
        <v>120000000</v>
      </c>
      <c r="O41" s="279">
        <f t="shared" si="9"/>
        <v>0</v>
      </c>
      <c r="P41" s="279">
        <f>SUM(P40)</f>
        <v>0</v>
      </c>
      <c r="Q41" s="279">
        <f>SUM(Q40)</f>
        <v>1200000000</v>
      </c>
      <c r="R41" s="850">
        <f>SUM(R40)</f>
        <v>500000000</v>
      </c>
      <c r="S41" s="279">
        <f t="shared" si="0"/>
        <v>-700000000</v>
      </c>
    </row>
    <row r="42" spans="1:20" ht="27.95" customHeight="1">
      <c r="A42" s="392"/>
      <c r="B42" s="280" t="s">
        <v>37</v>
      </c>
      <c r="C42" s="292"/>
      <c r="D42" s="292"/>
      <c r="E42" s="292"/>
      <c r="F42" s="292"/>
      <c r="G42" s="292"/>
      <c r="H42" s="292"/>
      <c r="I42" s="292"/>
      <c r="J42" s="280">
        <v>0</v>
      </c>
      <c r="K42" s="291">
        <f>K41+K31+K26+K20+K8</f>
        <v>349771200</v>
      </c>
      <c r="L42" s="279">
        <f>L41+L31+L26+L20+L8</f>
        <v>420303816</v>
      </c>
      <c r="M42" s="279">
        <f>M41+M31+M26+M20+M8</f>
        <v>732938431.20000005</v>
      </c>
      <c r="N42" s="279">
        <f>N41+N31+N26+N20+N8</f>
        <v>890042591.20000005</v>
      </c>
      <c r="O42" s="279">
        <f>O41+O31+O26+O20+O8</f>
        <v>1228439711.2</v>
      </c>
      <c r="P42" s="279">
        <f>P41+P31+P26+P20+P8+P38</f>
        <v>1375339871.2</v>
      </c>
      <c r="Q42" s="279">
        <f>Q41+Q38+Q31+Q26+Q20+Q8</f>
        <v>2520190271.1999998</v>
      </c>
      <c r="R42" s="850">
        <f>R41+R38+R31+R26+R20+R8</f>
        <v>2006932832</v>
      </c>
      <c r="S42" s="279">
        <f t="shared" si="0"/>
        <v>-513257439.19999981</v>
      </c>
    </row>
    <row r="43" spans="1:20" ht="24" customHeight="1">
      <c r="A43" s="651"/>
      <c r="B43" s="652"/>
      <c r="C43" s="653"/>
      <c r="D43" s="653"/>
      <c r="E43" s="653"/>
      <c r="F43" s="653"/>
      <c r="G43" s="653"/>
      <c r="H43" s="653"/>
      <c r="I43" s="653"/>
      <c r="J43" s="653"/>
      <c r="K43" s="654"/>
      <c r="L43" s="655"/>
      <c r="M43" s="655"/>
      <c r="N43" s="655"/>
      <c r="O43" s="655"/>
      <c r="P43" s="655"/>
      <c r="Q43" s="655"/>
      <c r="R43" s="655"/>
      <c r="S43" s="655"/>
    </row>
    <row r="44" spans="1:20" ht="24" customHeight="1">
      <c r="F44" s="528">
        <f>1386274192-71600000-798000-176160000-12600000</f>
        <v>1125116192</v>
      </c>
      <c r="K44" s="657"/>
      <c r="L44" s="657"/>
      <c r="M44" s="657"/>
      <c r="N44" s="657"/>
      <c r="O44" s="657"/>
      <c r="P44" s="657"/>
      <c r="Q44" s="657"/>
      <c r="R44" s="657"/>
      <c r="S44" s="657"/>
    </row>
    <row r="45" spans="1:20" ht="24" customHeight="1">
      <c r="K45" s="657"/>
      <c r="L45" s="657"/>
      <c r="M45" s="657"/>
      <c r="N45" s="657"/>
      <c r="O45" s="657"/>
      <c r="P45" s="657"/>
      <c r="Q45" s="657"/>
      <c r="R45" s="657"/>
      <c r="S45" s="657"/>
    </row>
    <row r="46" spans="1:20" ht="24" customHeight="1">
      <c r="K46" s="657"/>
      <c r="L46" s="657"/>
      <c r="M46" s="657"/>
      <c r="N46" s="657"/>
      <c r="O46" s="657"/>
      <c r="P46" s="657"/>
      <c r="Q46" s="657"/>
      <c r="R46" s="657"/>
      <c r="S46" s="657"/>
    </row>
    <row r="47" spans="1:20" ht="24" customHeight="1">
      <c r="K47" s="657"/>
      <c r="L47" s="657"/>
      <c r="M47" s="657"/>
      <c r="N47" s="657"/>
      <c r="O47" s="657"/>
      <c r="P47" s="657"/>
      <c r="Q47" s="657"/>
      <c r="R47" s="657"/>
      <c r="S47" s="657"/>
    </row>
    <row r="48" spans="1:20" ht="24" customHeight="1">
      <c r="K48" s="657"/>
      <c r="L48" s="657"/>
      <c r="M48" s="657"/>
      <c r="N48" s="657"/>
      <c r="O48" s="657"/>
      <c r="P48" s="657"/>
      <c r="Q48" s="657"/>
      <c r="R48" s="657"/>
      <c r="S48" s="657"/>
    </row>
    <row r="49" spans="11:19" ht="24" customHeight="1">
      <c r="K49" s="657"/>
      <c r="L49" s="657"/>
      <c r="M49" s="657"/>
      <c r="N49" s="657"/>
      <c r="O49" s="657"/>
      <c r="P49" s="657"/>
      <c r="Q49" s="657"/>
      <c r="R49" s="657"/>
      <c r="S49" s="657"/>
    </row>
    <row r="50" spans="11:19" ht="24" customHeight="1">
      <c r="K50" s="657"/>
      <c r="L50" s="657"/>
      <c r="M50" s="657"/>
      <c r="N50" s="657"/>
      <c r="O50" s="657"/>
      <c r="P50" s="657"/>
      <c r="Q50" s="657"/>
      <c r="R50" s="657"/>
      <c r="S50" s="657"/>
    </row>
    <row r="51" spans="11:19" ht="24" customHeight="1">
      <c r="K51" s="657"/>
      <c r="L51" s="657"/>
      <c r="M51" s="657"/>
      <c r="N51" s="657"/>
      <c r="O51" s="657"/>
      <c r="P51" s="657"/>
      <c r="Q51" s="657"/>
      <c r="R51" s="657"/>
      <c r="S51" s="657"/>
    </row>
    <row r="52" spans="11:19" ht="24" customHeight="1">
      <c r="K52" s="657"/>
      <c r="L52" s="657"/>
      <c r="M52" s="657"/>
      <c r="N52" s="657"/>
      <c r="O52" s="657"/>
      <c r="P52" s="657"/>
      <c r="Q52" s="657"/>
      <c r="R52" s="657"/>
      <c r="S52" s="657"/>
    </row>
    <row r="53" spans="11:19" ht="24" customHeight="1">
      <c r="K53" s="657"/>
      <c r="L53" s="657"/>
      <c r="M53" s="657"/>
      <c r="N53" s="657"/>
      <c r="O53" s="657"/>
      <c r="P53" s="657"/>
      <c r="Q53" s="657"/>
      <c r="R53" s="657"/>
      <c r="S53" s="657"/>
    </row>
    <row r="54" spans="11:19" ht="24" customHeight="1">
      <c r="K54" s="657"/>
      <c r="L54" s="657"/>
      <c r="M54" s="657"/>
      <c r="N54" s="657"/>
      <c r="O54" s="657"/>
      <c r="P54" s="657"/>
      <c r="Q54" s="657"/>
      <c r="R54" s="657"/>
      <c r="S54" s="657"/>
    </row>
    <row r="55" spans="11:19" ht="24" customHeight="1">
      <c r="K55" s="657"/>
      <c r="L55" s="657"/>
      <c r="M55" s="657"/>
      <c r="N55" s="657"/>
      <c r="O55" s="657"/>
      <c r="P55" s="657"/>
      <c r="Q55" s="657"/>
      <c r="R55" s="657"/>
      <c r="S55" s="657"/>
    </row>
  </sheetData>
  <phoneticPr fontId="0" type="noConversion"/>
  <printOptions gridLines="1"/>
  <pageMargins left="0.55000000000000004" right="0.25" top="0.67" bottom="0.48" header="0.2" footer="0.25"/>
  <pageSetup scale="55" orientation="portrait" r:id="rId1"/>
  <headerFooter alignWithMargins="0">
    <oddHeader>&amp;C&amp;"Algerian,Bold"&amp;36GUDIdA QANDARAASYADA QARANKA</oddHeader>
    <oddFooter>&amp;R&amp;"Times New Roman,Bold"&amp;14 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67"/>
  <sheetViews>
    <sheetView view="pageBreakPreview" topLeftCell="A43" zoomScale="60" zoomScaleNormal="100" workbookViewId="0">
      <selection activeCell="Y61" sqref="Y61"/>
    </sheetView>
  </sheetViews>
  <sheetFormatPr defaultRowHeight="21" customHeight="1"/>
  <cols>
    <col min="1" max="1" width="9.33203125" style="88"/>
    <col min="2" max="2" width="11.83203125" style="88" bestFit="1" customWidth="1"/>
    <col min="3" max="3" width="72.1640625" style="88" customWidth="1"/>
    <col min="4" max="10" width="9.33203125" style="88" hidden="1" customWidth="1"/>
    <col min="11" max="11" width="23.6640625" style="88" hidden="1" customWidth="1"/>
    <col min="12" max="12" width="29.33203125" style="88" hidden="1" customWidth="1"/>
    <col min="13" max="13" width="27" style="255" hidden="1" customWidth="1"/>
    <col min="14" max="14" width="30.83203125" style="255" hidden="1" customWidth="1"/>
    <col min="15" max="16" width="34" style="255" hidden="1" customWidth="1"/>
    <col min="17" max="18" width="34" style="255" customWidth="1"/>
    <col min="19" max="19" width="33" style="88" bestFit="1" customWidth="1"/>
    <col min="20" max="20" width="9.33203125" style="88"/>
    <col min="21" max="21" width="22.6640625" style="88" bestFit="1" customWidth="1"/>
    <col min="22" max="22" width="22.1640625" style="88" bestFit="1" customWidth="1"/>
    <col min="23" max="24" width="9.33203125" style="88"/>
    <col min="25" max="25" width="22.6640625" style="88" bestFit="1" customWidth="1"/>
    <col min="26" max="26" width="27.1640625" style="88" bestFit="1" customWidth="1"/>
    <col min="27" max="27" width="9.33203125" style="88" customWidth="1"/>
    <col min="28" max="16384" width="9.33203125" style="88"/>
  </cols>
  <sheetData>
    <row r="1" spans="1:19" ht="21" customHeight="1">
      <c r="A1" s="398" t="s">
        <v>1049</v>
      </c>
      <c r="B1" s="84" t="s">
        <v>40</v>
      </c>
      <c r="C1" s="85" t="s">
        <v>45</v>
      </c>
      <c r="D1" s="86" t="s">
        <v>2</v>
      </c>
      <c r="E1" s="86" t="s">
        <v>43</v>
      </c>
      <c r="F1" s="86" t="s">
        <v>50</v>
      </c>
      <c r="G1" s="86" t="s">
        <v>65</v>
      </c>
      <c r="H1" s="87" t="s">
        <v>62</v>
      </c>
      <c r="I1" s="87" t="s">
        <v>119</v>
      </c>
      <c r="J1" s="87" t="s">
        <v>120</v>
      </c>
      <c r="K1" s="87" t="s">
        <v>151</v>
      </c>
      <c r="L1" s="87" t="s">
        <v>257</v>
      </c>
      <c r="M1" s="86" t="s">
        <v>442</v>
      </c>
      <c r="N1" s="86" t="s">
        <v>805</v>
      </c>
      <c r="O1" s="86" t="s">
        <v>871</v>
      </c>
      <c r="P1" s="86" t="s">
        <v>972</v>
      </c>
      <c r="Q1" s="86" t="s">
        <v>1159</v>
      </c>
      <c r="R1" s="86" t="s">
        <v>1319</v>
      </c>
      <c r="S1" s="86" t="s">
        <v>47</v>
      </c>
    </row>
    <row r="2" spans="1:19" ht="21" customHeight="1">
      <c r="A2" s="98">
        <v>1</v>
      </c>
      <c r="B2" s="396" t="s">
        <v>1034</v>
      </c>
      <c r="C2" s="82" t="s">
        <v>1099</v>
      </c>
      <c r="D2" s="82" t="e">
        <f>'011-012'!#REF!</f>
        <v>#REF!</v>
      </c>
      <c r="E2" s="82">
        <f>'011-012'!C7</f>
        <v>0</v>
      </c>
      <c r="F2" s="82">
        <f>'011-012'!C7</f>
        <v>0</v>
      </c>
      <c r="G2" s="82">
        <f>'011-012'!D7</f>
        <v>0</v>
      </c>
      <c r="H2" s="90">
        <f>'011-012'!E4</f>
        <v>2600419200</v>
      </c>
      <c r="I2" s="90">
        <f>'011-012'!F4</f>
        <v>2600419200</v>
      </c>
      <c r="J2" s="90">
        <v>2600419200</v>
      </c>
      <c r="K2" s="90">
        <v>2600419200</v>
      </c>
      <c r="L2" s="90">
        <f>'011-012'!I7</f>
        <v>819000000</v>
      </c>
      <c r="M2" s="82">
        <f>'011-012'!I7</f>
        <v>819000000</v>
      </c>
      <c r="N2" s="82">
        <f>'011-012'!J7</f>
        <v>819000000</v>
      </c>
      <c r="O2" s="82">
        <f>'011-012'!K7</f>
        <v>819000000</v>
      </c>
      <c r="P2" s="82">
        <f>'011-012'!K7</f>
        <v>819000000</v>
      </c>
      <c r="Q2" s="82">
        <f>'011-012'!L7</f>
        <v>819000000</v>
      </c>
      <c r="R2" s="82">
        <f>'011-012'!M7</f>
        <v>819000000</v>
      </c>
      <c r="S2" s="272">
        <f>R2-Q2</f>
        <v>0</v>
      </c>
    </row>
    <row r="3" spans="1:19" ht="21" customHeight="1">
      <c r="A3" s="98">
        <v>1</v>
      </c>
      <c r="B3" s="396" t="s">
        <v>1035</v>
      </c>
      <c r="C3" s="82" t="s">
        <v>90</v>
      </c>
      <c r="D3" s="82" t="e">
        <f>'011-012'!#REF!</f>
        <v>#REF!</v>
      </c>
      <c r="E3" s="82" t="e">
        <f>'011-012'!#REF!</f>
        <v>#REF!</v>
      </c>
      <c r="F3" s="82">
        <f>'011-012'!C21</f>
        <v>1189000000</v>
      </c>
      <c r="G3" s="82">
        <f>'011-012'!D21</f>
        <v>1151200000</v>
      </c>
      <c r="H3" s="90">
        <f>'011-012'!E21</f>
        <v>1151200000</v>
      </c>
      <c r="I3" s="90">
        <f>'011-012'!F18:F18</f>
        <v>1151200000</v>
      </c>
      <c r="J3" s="90">
        <v>1151200000</v>
      </c>
      <c r="K3" s="90">
        <v>1151200000</v>
      </c>
      <c r="L3" s="90">
        <f>'011-012'!I21</f>
        <v>585000000</v>
      </c>
      <c r="M3" s="82">
        <f>'011-012'!I21</f>
        <v>585000000</v>
      </c>
      <c r="N3" s="82">
        <f>'011-012'!J21</f>
        <v>585000000</v>
      </c>
      <c r="O3" s="82">
        <f>'011-012'!K21</f>
        <v>585000000</v>
      </c>
      <c r="P3" s="82">
        <f>'011-012'!K21</f>
        <v>585000000</v>
      </c>
      <c r="Q3" s="82">
        <f>'011-012'!L21</f>
        <v>585000000</v>
      </c>
      <c r="R3" s="82">
        <f>'011-012'!M21</f>
        <v>585000000</v>
      </c>
      <c r="S3" s="272">
        <f t="shared" ref="S3:S65" si="0">R3-Q3</f>
        <v>0</v>
      </c>
    </row>
    <row r="4" spans="1:19" ht="21" customHeight="1">
      <c r="A4" s="98">
        <v>2</v>
      </c>
      <c r="B4" s="396" t="s">
        <v>1037</v>
      </c>
      <c r="C4" s="82" t="s">
        <v>1100</v>
      </c>
      <c r="D4" s="82"/>
      <c r="E4" s="82"/>
      <c r="F4" s="82"/>
      <c r="G4" s="82">
        <v>0</v>
      </c>
      <c r="H4" s="90" t="e">
        <f>'013'!D25</f>
        <v>#REF!</v>
      </c>
      <c r="I4" s="90">
        <v>283464717</v>
      </c>
      <c r="J4" s="90" t="e">
        <f>'013'!F25</f>
        <v>#REF!</v>
      </c>
      <c r="K4" s="90">
        <v>379488642</v>
      </c>
      <c r="L4" s="90" t="e">
        <f>'013'!H34</f>
        <v>#REF!</v>
      </c>
      <c r="M4" s="82" t="e">
        <f>'013'!I34</f>
        <v>#REF!</v>
      </c>
      <c r="N4" s="82" t="e">
        <f>'013'!J34</f>
        <v>#REF!</v>
      </c>
      <c r="O4" s="82" t="e">
        <f>'013'!L34</f>
        <v>#REF!</v>
      </c>
      <c r="P4" s="82">
        <f>'013'!M34</f>
        <v>1507148452.2</v>
      </c>
      <c r="Q4" s="82">
        <f>'013'!N34</f>
        <v>1718825120.2</v>
      </c>
      <c r="R4" s="82">
        <f>'013'!O34</f>
        <v>1820826880.2</v>
      </c>
      <c r="S4" s="272">
        <f t="shared" si="0"/>
        <v>102001760</v>
      </c>
    </row>
    <row r="5" spans="1:19" ht="21" customHeight="1">
      <c r="A5" s="98">
        <v>3</v>
      </c>
      <c r="B5" s="396" t="s">
        <v>1038</v>
      </c>
      <c r="C5" s="82" t="s">
        <v>88</v>
      </c>
      <c r="D5" s="82" t="e">
        <f>#REF!</f>
        <v>#REF!</v>
      </c>
      <c r="E5" s="82" t="e">
        <f>#REF!</f>
        <v>#REF!</v>
      </c>
      <c r="F5" s="82" t="e">
        <f>#REF!</f>
        <v>#REF!</v>
      </c>
      <c r="G5" s="82" t="e">
        <f>'021'!G52</f>
        <v>#REF!</v>
      </c>
      <c r="H5" s="90" t="e">
        <f>'021'!H52</f>
        <v>#REF!</v>
      </c>
      <c r="I5" s="90" t="e">
        <f>'021'!I52</f>
        <v>#REF!</v>
      </c>
      <c r="J5" s="90" t="e">
        <f>'021'!J52</f>
        <v>#REF!</v>
      </c>
      <c r="K5" s="90">
        <v>6088620400</v>
      </c>
      <c r="L5" s="91">
        <f>'021'!M52</f>
        <v>15299266400</v>
      </c>
      <c r="M5" s="82">
        <f ca="1">'021'!N52</f>
        <v>14413692800</v>
      </c>
      <c r="N5" s="82">
        <f ca="1">'021'!O52</f>
        <v>15364892800</v>
      </c>
      <c r="O5" s="82">
        <f ca="1">'021'!P52</f>
        <v>17234053120</v>
      </c>
      <c r="P5" s="82">
        <f>'021'!Q52</f>
        <v>19557548320</v>
      </c>
      <c r="Q5" s="82">
        <f>'021'!R52</f>
        <v>25574694240</v>
      </c>
      <c r="R5" s="82">
        <f>'021'!S52</f>
        <v>29096922752</v>
      </c>
      <c r="S5" s="272">
        <f t="shared" si="0"/>
        <v>3522228512</v>
      </c>
    </row>
    <row r="6" spans="1:19" ht="21" customHeight="1">
      <c r="A6" s="98">
        <v>4</v>
      </c>
      <c r="B6" s="396" t="s">
        <v>1036</v>
      </c>
      <c r="C6" s="82" t="s">
        <v>1101</v>
      </c>
      <c r="D6" s="82" t="e">
        <f>'031'!#REF!</f>
        <v>#REF!</v>
      </c>
      <c r="E6" s="82" t="e">
        <f>'031'!#REF!</f>
        <v>#REF!</v>
      </c>
      <c r="F6" s="82" t="e">
        <f>'031'!#REF!</f>
        <v>#REF!</v>
      </c>
      <c r="G6" s="82" t="e">
        <f>'031'!#REF!</f>
        <v>#REF!</v>
      </c>
      <c r="H6" s="90" t="e">
        <f>'031'!#REF!</f>
        <v>#REF!</v>
      </c>
      <c r="I6" s="90" t="e">
        <f>'031'!#REF!</f>
        <v>#REF!</v>
      </c>
      <c r="J6" s="90" t="e">
        <f>'031'!#REF!</f>
        <v>#REF!</v>
      </c>
      <c r="K6" s="90">
        <v>6555058600</v>
      </c>
      <c r="L6" s="91">
        <f>'031'!L55</f>
        <v>14149890400</v>
      </c>
      <c r="M6" s="82">
        <f ca="1">'031'!M55</f>
        <v>13336485600</v>
      </c>
      <c r="N6" s="82">
        <f ca="1">'031'!N55</f>
        <v>15639542400</v>
      </c>
      <c r="O6" s="82">
        <f ca="1">'031'!O55</f>
        <v>17877222240</v>
      </c>
      <c r="P6" s="82">
        <f>'031'!P55</f>
        <v>18514219520</v>
      </c>
      <c r="Q6" s="82">
        <f>'031'!Q55</f>
        <v>24317560160</v>
      </c>
      <c r="R6" s="82">
        <f>'031'!R55</f>
        <v>27559704096</v>
      </c>
      <c r="S6" s="272">
        <f t="shared" si="0"/>
        <v>3242143936</v>
      </c>
    </row>
    <row r="7" spans="1:19" ht="21" customHeight="1">
      <c r="A7" s="98">
        <v>5</v>
      </c>
      <c r="B7" s="396" t="s">
        <v>1039</v>
      </c>
      <c r="C7" s="82" t="s">
        <v>1102</v>
      </c>
      <c r="D7" s="82" t="e">
        <f>'041'!#REF!</f>
        <v>#REF!</v>
      </c>
      <c r="E7" s="82" t="e">
        <f>'041'!#REF!</f>
        <v>#REF!</v>
      </c>
      <c r="F7" s="82" t="e">
        <f>'041'!#REF!</f>
        <v>#REF!</v>
      </c>
      <c r="G7" s="82" t="e">
        <f>'041'!#REF!</f>
        <v>#REF!</v>
      </c>
      <c r="H7" s="90" t="e">
        <f>'041'!#REF!</f>
        <v>#REF!</v>
      </c>
      <c r="I7" s="90" t="e">
        <f>'041'!#REF!</f>
        <v>#REF!</v>
      </c>
      <c r="J7" s="90" t="e">
        <f>'041'!#REF!</f>
        <v>#REF!</v>
      </c>
      <c r="K7" s="90">
        <v>1114391200</v>
      </c>
      <c r="L7" s="91">
        <f>'041'!L47</f>
        <v>1191980080</v>
      </c>
      <c r="M7" s="82">
        <f>'041'!M47</f>
        <v>1662712120</v>
      </c>
      <c r="N7" s="82">
        <f>'041'!N47</f>
        <v>1952840120</v>
      </c>
      <c r="O7" s="82">
        <f>'041'!O47</f>
        <v>2265184120</v>
      </c>
      <c r="P7" s="82">
        <f>'041'!P47</f>
        <v>2506750160</v>
      </c>
      <c r="Q7" s="82">
        <f>'041'!Q47</f>
        <v>4992726480</v>
      </c>
      <c r="R7" s="82">
        <f>'041'!R47</f>
        <v>5656270784</v>
      </c>
      <c r="S7" s="272">
        <f t="shared" si="0"/>
        <v>663544304</v>
      </c>
    </row>
    <row r="8" spans="1:19" ht="21" customHeight="1">
      <c r="A8" s="98">
        <v>6</v>
      </c>
      <c r="B8" s="396" t="s">
        <v>1040</v>
      </c>
      <c r="C8" s="82" t="s">
        <v>1103</v>
      </c>
      <c r="D8" s="82" t="e">
        <f>'051'!#REF!</f>
        <v>#REF!</v>
      </c>
      <c r="E8" s="82" t="e">
        <f>'051'!#REF!</f>
        <v>#REF!</v>
      </c>
      <c r="F8" s="82" t="e">
        <f>'051'!#REF!</f>
        <v>#REF!</v>
      </c>
      <c r="G8" s="82">
        <v>463194400</v>
      </c>
      <c r="H8" s="90" t="e">
        <f>'051'!#REF!</f>
        <v>#REF!</v>
      </c>
      <c r="I8" s="90" t="e">
        <f>'051'!#REF!</f>
        <v>#REF!</v>
      </c>
      <c r="J8" s="90" t="e">
        <f>'051'!#REF!</f>
        <v>#REF!</v>
      </c>
      <c r="K8" s="90">
        <v>854051200</v>
      </c>
      <c r="L8" s="91">
        <f>'051'!L50</f>
        <v>1368495200</v>
      </c>
      <c r="M8" s="82">
        <f>'051'!M50</f>
        <v>1818020400</v>
      </c>
      <c r="N8" s="82">
        <f>'051'!N50</f>
        <v>2220080400</v>
      </c>
      <c r="O8" s="82">
        <f>'051'!O50</f>
        <v>3346575440</v>
      </c>
      <c r="P8" s="82">
        <f>'051'!P50</f>
        <v>3589587600</v>
      </c>
      <c r="Q8" s="82">
        <f>'051'!Q50</f>
        <v>5573350480</v>
      </c>
      <c r="R8" s="82">
        <f>'051'!R50</f>
        <v>6709395120</v>
      </c>
      <c r="S8" s="272">
        <f t="shared" si="0"/>
        <v>1136044640</v>
      </c>
    </row>
    <row r="9" spans="1:19" ht="21" customHeight="1">
      <c r="A9" s="98">
        <v>7</v>
      </c>
      <c r="B9" s="396" t="s">
        <v>1041</v>
      </c>
      <c r="C9" s="82" t="s">
        <v>83</v>
      </c>
      <c r="D9" s="82" t="e">
        <f>'061'!#REF!</f>
        <v>#REF!</v>
      </c>
      <c r="E9" s="82" t="e">
        <f>'061'!#REF!</f>
        <v>#REF!</v>
      </c>
      <c r="F9" s="82" t="e">
        <f>'061'!#REF!</f>
        <v>#REF!</v>
      </c>
      <c r="G9" s="82">
        <v>516977600</v>
      </c>
      <c r="H9" s="90" t="e">
        <f>'061'!#REF!</f>
        <v>#REF!</v>
      </c>
      <c r="I9" s="90" t="e">
        <f>'061'!#REF!</f>
        <v>#REF!</v>
      </c>
      <c r="J9" s="90" t="e">
        <f>'061'!#REF!</f>
        <v>#REF!</v>
      </c>
      <c r="K9" s="90">
        <v>907223322</v>
      </c>
      <c r="L9" s="90">
        <f>'061'!L54</f>
        <v>1331654085.4000001</v>
      </c>
      <c r="M9" s="82" t="e">
        <f>'061'!M54</f>
        <v>#REF!</v>
      </c>
      <c r="N9" s="82" t="e">
        <f>'061'!N54</f>
        <v>#REF!</v>
      </c>
      <c r="O9" s="82">
        <f>'061'!O54</f>
        <v>4626441445.3999996</v>
      </c>
      <c r="P9" s="82">
        <f>'061'!P54</f>
        <v>8490980645.3999996</v>
      </c>
      <c r="Q9" s="82">
        <f>'061'!Q54</f>
        <v>8096424805.3999996</v>
      </c>
      <c r="R9" s="82">
        <f>'061'!R54</f>
        <v>24328378617.400002</v>
      </c>
      <c r="S9" s="272">
        <f t="shared" si="0"/>
        <v>16231953812.000002</v>
      </c>
    </row>
    <row r="10" spans="1:19" ht="21" customHeight="1">
      <c r="A10" s="98">
        <v>8</v>
      </c>
      <c r="B10" s="396" t="s">
        <v>1042</v>
      </c>
      <c r="C10" s="82" t="s">
        <v>1104</v>
      </c>
      <c r="D10" s="82">
        <f>'071'!D31</f>
        <v>0</v>
      </c>
      <c r="E10" s="82">
        <f>'071'!E31</f>
        <v>0</v>
      </c>
      <c r="F10" s="82">
        <f>'071'!F31</f>
        <v>0</v>
      </c>
      <c r="G10" s="82">
        <v>496375200</v>
      </c>
      <c r="H10" s="90">
        <f>'071'!I31:I31</f>
        <v>0</v>
      </c>
      <c r="I10" s="90">
        <f>'071'!J31</f>
        <v>0</v>
      </c>
      <c r="J10" s="90">
        <f>'071'!K31</f>
        <v>14151200</v>
      </c>
      <c r="K10" s="90">
        <v>1758966400</v>
      </c>
      <c r="L10" s="90">
        <f>'071'!M48</f>
        <v>1475962080</v>
      </c>
      <c r="M10" s="82">
        <f>'071'!N48</f>
        <v>1831210024</v>
      </c>
      <c r="N10" s="82">
        <f>'071'!O48</f>
        <v>1899834024</v>
      </c>
      <c r="O10" s="82">
        <f>'071'!P48</f>
        <v>4272839784</v>
      </c>
      <c r="P10" s="82">
        <f>'071'!Q48</f>
        <v>3993942184</v>
      </c>
      <c r="Q10" s="82">
        <f>'071'!R48</f>
        <v>3660330664</v>
      </c>
      <c r="R10" s="82">
        <f>'071'!S48</f>
        <v>4604196384</v>
      </c>
      <c r="S10" s="272">
        <f t="shared" si="0"/>
        <v>943865720</v>
      </c>
    </row>
    <row r="11" spans="1:19" ht="21" customHeight="1">
      <c r="A11" s="98">
        <v>9</v>
      </c>
      <c r="B11" s="396" t="s">
        <v>1043</v>
      </c>
      <c r="C11" s="82" t="s">
        <v>932</v>
      </c>
      <c r="D11" s="82" t="e">
        <f>'081'!#REF!</f>
        <v>#REF!</v>
      </c>
      <c r="E11" s="82" t="e">
        <f>'081'!#REF!</f>
        <v>#REF!</v>
      </c>
      <c r="F11" s="82" t="e">
        <f>'081'!#REF!</f>
        <v>#REF!</v>
      </c>
      <c r="G11" s="82" t="e">
        <f>'081'!#REF!</f>
        <v>#REF!</v>
      </c>
      <c r="H11" s="90" t="e">
        <f>'081'!#REF!</f>
        <v>#REF!</v>
      </c>
      <c r="I11" s="90" t="e">
        <f>'081'!#REF!</f>
        <v>#REF!</v>
      </c>
      <c r="J11" s="90" t="e">
        <f>'081'!#REF!</f>
        <v>#REF!</v>
      </c>
      <c r="K11" s="90">
        <v>13195562882</v>
      </c>
      <c r="L11" s="90" t="e">
        <f>'081'!K59</f>
        <v>#REF!</v>
      </c>
      <c r="M11" s="82" t="e">
        <f>'081'!L59</f>
        <v>#REF!</v>
      </c>
      <c r="N11" s="82" t="e">
        <f>'081'!M59</f>
        <v>#REF!</v>
      </c>
      <c r="O11" s="82">
        <f>'081'!N59</f>
        <v>34472344890</v>
      </c>
      <c r="P11" s="82">
        <f>'081'!O59</f>
        <v>38516040570</v>
      </c>
      <c r="Q11" s="82">
        <f>'081'!P59</f>
        <v>45380740778</v>
      </c>
      <c r="R11" s="82">
        <f>'081'!Q59</f>
        <v>56534978865</v>
      </c>
      <c r="S11" s="272">
        <f t="shared" si="0"/>
        <v>11154238087</v>
      </c>
    </row>
    <row r="12" spans="1:19" ht="21" customHeight="1">
      <c r="A12" s="98">
        <v>10</v>
      </c>
      <c r="B12" s="396" t="s">
        <v>1044</v>
      </c>
      <c r="C12" s="82" t="s">
        <v>1105</v>
      </c>
      <c r="D12" s="82">
        <f>'331'!D36</f>
        <v>0</v>
      </c>
      <c r="E12" s="82">
        <f>'331'!E36</f>
        <v>0</v>
      </c>
      <c r="F12" s="82">
        <f>'331'!F36</f>
        <v>0</v>
      </c>
      <c r="G12" s="82">
        <v>116932000</v>
      </c>
      <c r="H12" s="90">
        <f>'331'!H36</f>
        <v>0</v>
      </c>
      <c r="I12" s="90">
        <f>'331'!I36</f>
        <v>0</v>
      </c>
      <c r="J12" s="90">
        <f>'331'!J36</f>
        <v>0</v>
      </c>
      <c r="K12" s="90">
        <v>4324324812</v>
      </c>
      <c r="L12" s="90">
        <f>'082'!M53</f>
        <v>7378682713.0714293</v>
      </c>
      <c r="M12" s="82">
        <f>'082'!N53</f>
        <v>6889063246.6999998</v>
      </c>
      <c r="N12" s="82">
        <f>'082'!O53</f>
        <v>8933577194</v>
      </c>
      <c r="O12" s="82">
        <f>'082'!P53</f>
        <v>16724220874</v>
      </c>
      <c r="P12" s="82">
        <f>'082'!Q53</f>
        <v>15352321802</v>
      </c>
      <c r="Q12" s="82">
        <f>'082'!R53</f>
        <v>16830649043</v>
      </c>
      <c r="R12" s="82">
        <f>'082'!S53</f>
        <v>18729991791</v>
      </c>
      <c r="S12" s="272">
        <f t="shared" si="0"/>
        <v>1899342748</v>
      </c>
    </row>
    <row r="13" spans="1:19" ht="21" customHeight="1">
      <c r="A13" s="98">
        <v>11</v>
      </c>
      <c r="B13" s="396" t="s">
        <v>1045</v>
      </c>
      <c r="C13" s="82" t="s">
        <v>487</v>
      </c>
      <c r="D13" s="82"/>
      <c r="E13" s="82"/>
      <c r="F13" s="82"/>
      <c r="G13" s="82"/>
      <c r="H13" s="90"/>
      <c r="I13" s="90"/>
      <c r="J13" s="90"/>
      <c r="K13" s="90"/>
      <c r="L13" s="90">
        <v>0</v>
      </c>
      <c r="M13" s="82">
        <f>'083'!D48</f>
        <v>375686800</v>
      </c>
      <c r="N13" s="82">
        <f>'083'!E48</f>
        <v>428231600</v>
      </c>
      <c r="O13" s="82">
        <f>'083'!F48</f>
        <v>597677840</v>
      </c>
      <c r="P13" s="82">
        <f>'083'!G48</f>
        <v>658229520</v>
      </c>
      <c r="Q13" s="82">
        <f>'083'!H48</f>
        <v>2057614480</v>
      </c>
      <c r="R13" s="82">
        <f>'083'!I48</f>
        <v>2022611728</v>
      </c>
      <c r="S13" s="272">
        <f t="shared" si="0"/>
        <v>-35002752</v>
      </c>
    </row>
    <row r="14" spans="1:19" ht="21" customHeight="1">
      <c r="A14" s="98">
        <v>12</v>
      </c>
      <c r="B14" s="396" t="s">
        <v>1046</v>
      </c>
      <c r="C14" s="82" t="s">
        <v>847</v>
      </c>
      <c r="D14" s="82"/>
      <c r="E14" s="82"/>
      <c r="F14" s="82"/>
      <c r="G14" s="82"/>
      <c r="H14" s="90"/>
      <c r="I14" s="90"/>
      <c r="J14" s="90"/>
      <c r="K14" s="90"/>
      <c r="L14" s="90"/>
      <c r="M14" s="82">
        <v>0</v>
      </c>
      <c r="N14" s="82">
        <f>'084'!O47</f>
        <v>6943665380</v>
      </c>
      <c r="O14" s="82">
        <f>'084'!P47</f>
        <v>8618624100</v>
      </c>
      <c r="P14" s="82">
        <f>'084'!Q47</f>
        <v>8688624100</v>
      </c>
      <c r="Q14" s="82">
        <f>'084'!R47</f>
        <v>9613454100</v>
      </c>
      <c r="R14" s="82">
        <f>'084'!S47</f>
        <v>11080616228</v>
      </c>
      <c r="S14" s="272">
        <f t="shared" si="0"/>
        <v>1467162128</v>
      </c>
    </row>
    <row r="15" spans="1:19" ht="21" customHeight="1">
      <c r="A15" s="98">
        <v>13</v>
      </c>
      <c r="B15" s="396" t="s">
        <v>1047</v>
      </c>
      <c r="C15" s="82" t="s">
        <v>848</v>
      </c>
      <c r="D15" s="82"/>
      <c r="E15" s="82"/>
      <c r="F15" s="82"/>
      <c r="G15" s="82"/>
      <c r="H15" s="90"/>
      <c r="I15" s="90"/>
      <c r="J15" s="90"/>
      <c r="K15" s="90"/>
      <c r="L15" s="90"/>
      <c r="M15" s="82">
        <v>0</v>
      </c>
      <c r="N15" s="82">
        <f>'085'!Q38</f>
        <v>800000000</v>
      </c>
      <c r="O15" s="82">
        <f>'085'!R38</f>
        <v>1190000000</v>
      </c>
      <c r="P15" s="82">
        <f>'085'!S38</f>
        <v>1595550000</v>
      </c>
      <c r="Q15" s="82">
        <f>'085'!T38</f>
        <v>1984550000</v>
      </c>
      <c r="R15" s="82">
        <f>'085'!U38</f>
        <v>2884550000</v>
      </c>
      <c r="S15" s="272">
        <f t="shared" si="0"/>
        <v>900000000</v>
      </c>
    </row>
    <row r="16" spans="1:19" ht="21" customHeight="1">
      <c r="A16" s="98">
        <v>14</v>
      </c>
      <c r="B16" s="396" t="s">
        <v>1048</v>
      </c>
      <c r="C16" s="82" t="s">
        <v>1106</v>
      </c>
      <c r="D16" s="82" t="e">
        <f>'091'!#REF!</f>
        <v>#REF!</v>
      </c>
      <c r="E16" s="82" t="e">
        <f>'091'!#REF!</f>
        <v>#REF!</v>
      </c>
      <c r="F16" s="82" t="e">
        <f>'091'!#REF!</f>
        <v>#REF!</v>
      </c>
      <c r="G16" s="82">
        <v>1870580000</v>
      </c>
      <c r="H16" s="90" t="e">
        <f>'091'!#REF!</f>
        <v>#REF!</v>
      </c>
      <c r="I16" s="90" t="e">
        <f>'091'!#REF!</f>
        <v>#REF!</v>
      </c>
      <c r="J16" s="90" t="e">
        <f>'091'!#REF!</f>
        <v>#REF!</v>
      </c>
      <c r="K16" s="90">
        <v>4597004640</v>
      </c>
      <c r="L16" s="90">
        <f>'091'!M52</f>
        <v>6734909088</v>
      </c>
      <c r="M16" s="82">
        <f>'091'!N52</f>
        <v>10053034508</v>
      </c>
      <c r="N16" s="82">
        <f>'091'!O52</f>
        <v>11346591288</v>
      </c>
      <c r="O16" s="82">
        <f>'091'!P52</f>
        <v>13977637688</v>
      </c>
      <c r="P16" s="82">
        <f>'091'!Q52</f>
        <v>16210847488</v>
      </c>
      <c r="Q16" s="82">
        <f>'091'!R52</f>
        <v>19142636928</v>
      </c>
      <c r="R16" s="82">
        <f>'091'!S52</f>
        <v>30207733280</v>
      </c>
      <c r="S16" s="272">
        <f t="shared" si="0"/>
        <v>11065096352</v>
      </c>
    </row>
    <row r="17" spans="1:19" ht="21" customHeight="1">
      <c r="A17" s="98">
        <v>15</v>
      </c>
      <c r="B17" s="89">
        <v>101</v>
      </c>
      <c r="C17" s="82" t="s">
        <v>329</v>
      </c>
      <c r="D17" s="82" t="e">
        <f>'101'!D30</f>
        <v>#REF!</v>
      </c>
      <c r="E17" s="82" t="e">
        <f>'101'!E30</f>
        <v>#REF!</v>
      </c>
      <c r="F17" s="82" t="e">
        <f>'101'!F30</f>
        <v>#REF!</v>
      </c>
      <c r="G17" s="82">
        <v>235824000</v>
      </c>
      <c r="H17" s="90" t="e">
        <f>'101'!H30</f>
        <v>#REF!</v>
      </c>
      <c r="I17" s="90" t="e">
        <f>'101'!I30</f>
        <v>#REF!</v>
      </c>
      <c r="J17" s="90" t="e">
        <f>'101'!J30</f>
        <v>#REF!</v>
      </c>
      <c r="K17" s="90">
        <v>679875200</v>
      </c>
      <c r="L17" s="90">
        <f>'101'!M48</f>
        <v>934060859</v>
      </c>
      <c r="M17" s="82">
        <f>'101'!N48</f>
        <v>1626445600</v>
      </c>
      <c r="N17" s="82">
        <f>'101'!O48</f>
        <v>1784867200</v>
      </c>
      <c r="O17" s="82">
        <f>'101'!P48</f>
        <v>3034337760</v>
      </c>
      <c r="P17" s="82">
        <f>'101'!Q48</f>
        <v>4111733920</v>
      </c>
      <c r="Q17" s="82">
        <f>'101'!R48</f>
        <v>5137220960</v>
      </c>
      <c r="R17" s="82">
        <f>'101'!S48</f>
        <v>6227138400</v>
      </c>
      <c r="S17" s="272">
        <f t="shared" si="0"/>
        <v>1089917440</v>
      </c>
    </row>
    <row r="18" spans="1:19" ht="21" customHeight="1">
      <c r="A18" s="98">
        <v>16</v>
      </c>
      <c r="B18" s="89">
        <v>102</v>
      </c>
      <c r="C18" s="82" t="s">
        <v>201</v>
      </c>
      <c r="D18" s="82" t="e">
        <f>'102'!#REF!</f>
        <v>#REF!</v>
      </c>
      <c r="E18" s="82" t="e">
        <f>'102'!#REF!</f>
        <v>#REF!</v>
      </c>
      <c r="F18" s="82" t="e">
        <f>'102'!#REF!</f>
        <v>#REF!</v>
      </c>
      <c r="G18" s="82">
        <v>6290707200</v>
      </c>
      <c r="H18" s="82" t="e">
        <f>'102'!#REF!</f>
        <v>#REF!</v>
      </c>
      <c r="I18" s="82" t="e">
        <f>'102'!#REF!</f>
        <v>#REF!</v>
      </c>
      <c r="J18" s="82" t="e">
        <f>'102'!#REF!</f>
        <v>#REF!</v>
      </c>
      <c r="K18" s="90">
        <v>17366838836</v>
      </c>
      <c r="L18" s="82">
        <f>'102'!M59</f>
        <v>28586428370</v>
      </c>
      <c r="M18" s="82">
        <f>'102'!N59</f>
        <v>28501786710</v>
      </c>
      <c r="N18" s="82">
        <f>'102'!O59</f>
        <v>28704831510</v>
      </c>
      <c r="O18" s="82">
        <f>'102'!P59</f>
        <v>31193993430</v>
      </c>
      <c r="P18" s="82">
        <f>'102'!R59</f>
        <v>37016918636</v>
      </c>
      <c r="Q18" s="82">
        <f>'102'!S59</f>
        <v>40063064076</v>
      </c>
      <c r="R18" s="82">
        <f>'102'!T59</f>
        <v>48439393630</v>
      </c>
      <c r="S18" s="272">
        <f t="shared" si="0"/>
        <v>8376329554</v>
      </c>
    </row>
    <row r="19" spans="1:19" ht="21" customHeight="1">
      <c r="A19" s="98">
        <v>17</v>
      </c>
      <c r="B19" s="89">
        <v>103</v>
      </c>
      <c r="C19" s="82" t="s">
        <v>1107</v>
      </c>
      <c r="D19" s="82" t="e">
        <f>#REF!</f>
        <v>#REF!</v>
      </c>
      <c r="E19" s="82" t="e">
        <f>#REF!</f>
        <v>#REF!</v>
      </c>
      <c r="F19" s="82" t="e">
        <f>#REF!</f>
        <v>#REF!</v>
      </c>
      <c r="G19" s="82">
        <v>1956383200</v>
      </c>
      <c r="H19" s="82" t="e">
        <f>#REF!</f>
        <v>#REF!</v>
      </c>
      <c r="I19" s="82" t="e">
        <f>#REF!</f>
        <v>#REF!</v>
      </c>
      <c r="J19" s="82" t="e">
        <f>#REF!</f>
        <v>#REF!</v>
      </c>
      <c r="K19" s="90">
        <v>4243360800</v>
      </c>
      <c r="L19" s="82">
        <f>'103'!L50</f>
        <v>5250228560</v>
      </c>
      <c r="M19" s="82">
        <f>'103'!M50</f>
        <v>7403204200</v>
      </c>
      <c r="N19" s="82">
        <f>'103'!N50</f>
        <v>8490853800</v>
      </c>
      <c r="O19" s="82">
        <f>'103'!O50</f>
        <v>10486434440</v>
      </c>
      <c r="P19" s="82">
        <f>'103'!P50</f>
        <v>11291614600</v>
      </c>
      <c r="Q19" s="82">
        <f>'103'!Q50</f>
        <v>16725781920</v>
      </c>
      <c r="R19" s="82">
        <f>'103'!R50</f>
        <v>18684686112</v>
      </c>
      <c r="S19" s="272">
        <f t="shared" si="0"/>
        <v>1958904192</v>
      </c>
    </row>
    <row r="20" spans="1:19" ht="21" customHeight="1">
      <c r="A20" s="98">
        <v>18</v>
      </c>
      <c r="B20" s="89">
        <v>104</v>
      </c>
      <c r="C20" s="82" t="s">
        <v>194</v>
      </c>
      <c r="D20" s="82"/>
      <c r="E20" s="82"/>
      <c r="F20" s="82"/>
      <c r="G20" s="82"/>
      <c r="H20" s="90"/>
      <c r="I20" s="90"/>
      <c r="J20" s="90"/>
      <c r="K20" s="90">
        <v>235240000</v>
      </c>
      <c r="L20" s="90">
        <f>'104'!M49</f>
        <v>238129360</v>
      </c>
      <c r="M20" s="82">
        <f>'104'!N49</f>
        <v>1217248800</v>
      </c>
      <c r="N20" s="82">
        <f>'104'!O49</f>
        <v>1540450400</v>
      </c>
      <c r="O20" s="82">
        <f>'104'!P49</f>
        <v>1976465920</v>
      </c>
      <c r="P20" s="82">
        <f>'104'!Q49</f>
        <v>2223936960</v>
      </c>
      <c r="Q20" s="82">
        <f>'104'!S49</f>
        <v>4594362240</v>
      </c>
      <c r="R20" s="82">
        <f>'104'!T49</f>
        <v>3064305760</v>
      </c>
      <c r="S20" s="272">
        <f t="shared" si="0"/>
        <v>-1530056480</v>
      </c>
    </row>
    <row r="21" spans="1:19" ht="21" customHeight="1">
      <c r="A21" s="98">
        <v>19</v>
      </c>
      <c r="B21" s="89">
        <v>105</v>
      </c>
      <c r="C21" s="82" t="s">
        <v>195</v>
      </c>
      <c r="D21" s="82"/>
      <c r="E21" s="82"/>
      <c r="F21" s="82"/>
      <c r="G21" s="82"/>
      <c r="H21" s="90"/>
      <c r="I21" s="90"/>
      <c r="J21" s="90"/>
      <c r="K21" s="90">
        <v>306784800</v>
      </c>
      <c r="L21" s="90">
        <f>'105'!N37</f>
        <v>346828800</v>
      </c>
      <c r="M21" s="82">
        <f>'105'!O37</f>
        <v>360848800</v>
      </c>
      <c r="N21" s="82">
        <f>'105'!P37</f>
        <v>316181600</v>
      </c>
      <c r="O21" s="82">
        <f>'105'!Q37</f>
        <v>853137920</v>
      </c>
      <c r="P21" s="82">
        <f>'105'!R37</f>
        <v>890380800</v>
      </c>
      <c r="Q21" s="82">
        <f>'105'!S37</f>
        <v>1138627200</v>
      </c>
      <c r="R21" s="82">
        <f>'105'!T37</f>
        <v>2950591296</v>
      </c>
      <c r="S21" s="272">
        <f t="shared" si="0"/>
        <v>1811964096</v>
      </c>
    </row>
    <row r="22" spans="1:19" ht="21" customHeight="1">
      <c r="A22" s="98">
        <v>20</v>
      </c>
      <c r="B22" s="89">
        <v>111</v>
      </c>
      <c r="C22" s="82" t="s">
        <v>112</v>
      </c>
      <c r="D22" s="82" t="e">
        <f>#REF!</f>
        <v>#REF!</v>
      </c>
      <c r="E22" s="82" t="e">
        <f>#REF!</f>
        <v>#REF!</v>
      </c>
      <c r="F22" s="82" t="e">
        <f>#REF!</f>
        <v>#REF!</v>
      </c>
      <c r="G22" s="82">
        <v>7253005000</v>
      </c>
      <c r="H22" s="90" t="e">
        <f>#REF!</f>
        <v>#REF!</v>
      </c>
      <c r="I22" s="90" t="e">
        <f>#REF!</f>
        <v>#REF!</v>
      </c>
      <c r="J22" s="90" t="e">
        <f>#REF!</f>
        <v>#REF!</v>
      </c>
      <c r="K22" s="90">
        <f>13678460159+911575954</f>
        <v>14590036113</v>
      </c>
      <c r="L22" s="91" t="e">
        <f>'111'!M50</f>
        <v>#REF!</v>
      </c>
      <c r="M22" s="82" t="e">
        <f>'111'!N50</f>
        <v>#REF!</v>
      </c>
      <c r="N22" s="82" t="e">
        <f>'111'!O50</f>
        <v>#REF!</v>
      </c>
      <c r="O22" s="82">
        <f>'111'!P50</f>
        <v>17097559050</v>
      </c>
      <c r="P22" s="82">
        <f>'111'!Q50</f>
        <v>19262797296</v>
      </c>
      <c r="Q22" s="82">
        <f>'111'!R50</f>
        <v>25011038896</v>
      </c>
      <c r="R22" s="82">
        <f>'111'!S50</f>
        <v>29526899843</v>
      </c>
      <c r="S22" s="272">
        <f t="shared" si="0"/>
        <v>4515860947</v>
      </c>
    </row>
    <row r="23" spans="1:19" ht="21" customHeight="1">
      <c r="A23" s="98">
        <v>21</v>
      </c>
      <c r="B23" s="89">
        <v>112</v>
      </c>
      <c r="C23" s="82" t="s">
        <v>197</v>
      </c>
      <c r="D23" s="82" t="e">
        <f>'112'!#REF!</f>
        <v>#REF!</v>
      </c>
      <c r="E23" s="82" t="e">
        <f>'112'!#REF!</f>
        <v>#REF!</v>
      </c>
      <c r="F23" s="82" t="e">
        <f>'112'!#REF!</f>
        <v>#REF!</v>
      </c>
      <c r="G23" s="82">
        <v>15499411200</v>
      </c>
      <c r="H23" s="90" t="e">
        <f>'112'!#REF!</f>
        <v>#REF!</v>
      </c>
      <c r="I23" s="90" t="e">
        <f>'112'!#REF!</f>
        <v>#REF!</v>
      </c>
      <c r="J23" s="90" t="e">
        <f>'112'!#REF!</f>
        <v>#REF!</v>
      </c>
      <c r="K23" s="90">
        <v>33622078053</v>
      </c>
      <c r="L23" s="90">
        <f>'112'!M55</f>
        <v>59996703163</v>
      </c>
      <c r="M23" s="82">
        <f ca="1">'112'!N55</f>
        <v>59808328123</v>
      </c>
      <c r="N23" s="82">
        <f>'112'!Q55</f>
        <v>59268328123</v>
      </c>
      <c r="O23" s="82">
        <f>'112'!R55</f>
        <v>67232152587</v>
      </c>
      <c r="P23" s="82">
        <f>'112'!S55</f>
        <v>76754310054</v>
      </c>
      <c r="Q23" s="82">
        <f>'112'!T55</f>
        <v>85161235803</v>
      </c>
      <c r="R23" s="82">
        <f>'112'!U55</f>
        <v>95074777755</v>
      </c>
      <c r="S23" s="272">
        <f t="shared" si="0"/>
        <v>9913541952</v>
      </c>
    </row>
    <row r="24" spans="1:19" ht="21" customHeight="1">
      <c r="A24" s="98">
        <v>22</v>
      </c>
      <c r="B24" s="89">
        <v>113</v>
      </c>
      <c r="C24" s="82" t="s">
        <v>1108</v>
      </c>
      <c r="D24" s="82"/>
      <c r="E24" s="82"/>
      <c r="F24" s="82"/>
      <c r="G24" s="82">
        <v>0</v>
      </c>
      <c r="H24" s="90" t="e">
        <f>'113'!#REF!</f>
        <v>#REF!</v>
      </c>
      <c r="I24" s="90" t="e">
        <f>'113'!#REF!</f>
        <v>#REF!</v>
      </c>
      <c r="J24" s="90" t="e">
        <f>'113'!#REF!</f>
        <v>#REF!</v>
      </c>
      <c r="K24" s="90">
        <v>2161379387</v>
      </c>
      <c r="L24" s="90">
        <f>'113'!I50</f>
        <v>6119452417.3999996</v>
      </c>
      <c r="M24" s="82">
        <f>'113'!J50</f>
        <v>6102395953.3999996</v>
      </c>
      <c r="N24" s="82">
        <f>'113'!K50</f>
        <v>6131768353.3999996</v>
      </c>
      <c r="O24" s="82">
        <f>'113'!L50</f>
        <v>7135288453.3999996</v>
      </c>
      <c r="P24" s="82">
        <f>'113'!M50</f>
        <v>8242074173.3999996</v>
      </c>
      <c r="Q24" s="82">
        <f>'113'!N50</f>
        <v>11281195553.4</v>
      </c>
      <c r="R24" s="82">
        <f>'113'!O50</f>
        <v>14832174086</v>
      </c>
      <c r="S24" s="272">
        <f t="shared" si="0"/>
        <v>3550978532.6000004</v>
      </c>
    </row>
    <row r="25" spans="1:19" ht="21" customHeight="1">
      <c r="A25" s="98">
        <v>23</v>
      </c>
      <c r="B25" s="89">
        <v>114</v>
      </c>
      <c r="C25" s="82" t="s">
        <v>81</v>
      </c>
      <c r="D25" s="82" t="e">
        <f>'114'!#REF!</f>
        <v>#REF!</v>
      </c>
      <c r="E25" s="82" t="e">
        <f>'114'!#REF!</f>
        <v>#REF!</v>
      </c>
      <c r="F25" s="82" t="e">
        <f>'114'!#REF!</f>
        <v>#REF!</v>
      </c>
      <c r="G25" s="82">
        <v>208425600</v>
      </c>
      <c r="H25" s="82" t="e">
        <f>'114'!#REF!</f>
        <v>#REF!</v>
      </c>
      <c r="I25" s="82" t="e">
        <f>'114'!#REF!</f>
        <v>#REF!</v>
      </c>
      <c r="J25" s="82" t="e">
        <f>'114'!#REF!</f>
        <v>#REF!</v>
      </c>
      <c r="K25" s="90">
        <v>480119672</v>
      </c>
      <c r="L25" s="82">
        <f>'114'!M23</f>
        <v>118367480</v>
      </c>
      <c r="M25" s="82">
        <f>'114'!N23</f>
        <v>22000000</v>
      </c>
      <c r="N25" s="82">
        <f>'114'!N23</f>
        <v>22000000</v>
      </c>
      <c r="O25" s="82">
        <f>'114'!O41</f>
        <v>836522970</v>
      </c>
      <c r="P25" s="82">
        <f>'114'!P41</f>
        <v>901874010</v>
      </c>
      <c r="Q25" s="82">
        <f>'114'!Q41</f>
        <v>1065960730</v>
      </c>
      <c r="R25" s="82">
        <f>'114'!R41</f>
        <v>1662033018</v>
      </c>
      <c r="S25" s="272">
        <f t="shared" si="0"/>
        <v>596072288</v>
      </c>
    </row>
    <row r="26" spans="1:19" ht="21" customHeight="1">
      <c r="A26" s="98">
        <v>24</v>
      </c>
      <c r="B26" s="89">
        <v>115</v>
      </c>
      <c r="C26" s="82" t="s">
        <v>139</v>
      </c>
      <c r="D26" s="82"/>
      <c r="E26" s="82"/>
      <c r="F26" s="82"/>
      <c r="G26" s="82"/>
      <c r="H26" s="90"/>
      <c r="I26" s="90"/>
      <c r="J26" s="90"/>
      <c r="K26" s="90">
        <v>3053688406</v>
      </c>
      <c r="L26" s="90">
        <f>'115'!K48</f>
        <v>2591135846</v>
      </c>
      <c r="M26" s="82">
        <f>'115'!L48</f>
        <v>3207534526</v>
      </c>
      <c r="N26" s="82">
        <f>'115'!M48</f>
        <v>3041534526</v>
      </c>
      <c r="O26" s="82">
        <f>'115'!N48</f>
        <v>3282778046</v>
      </c>
      <c r="P26" s="82">
        <f>'115'!O48</f>
        <v>4545434652</v>
      </c>
      <c r="Q26" s="82">
        <f>'115'!P48</f>
        <v>5187779900</v>
      </c>
      <c r="R26" s="82">
        <f>'115'!Q48</f>
        <v>7034339136</v>
      </c>
      <c r="S26" s="272">
        <f t="shared" si="0"/>
        <v>1846559236</v>
      </c>
    </row>
    <row r="27" spans="1:19" ht="21" customHeight="1">
      <c r="A27" s="98">
        <v>25</v>
      </c>
      <c r="B27" s="89">
        <v>116</v>
      </c>
      <c r="C27" s="82" t="s">
        <v>1272</v>
      </c>
      <c r="D27" s="82"/>
      <c r="E27" s="82"/>
      <c r="F27" s="82"/>
      <c r="G27" s="82"/>
      <c r="H27" s="90"/>
      <c r="I27" s="90"/>
      <c r="J27" s="90"/>
      <c r="K27" s="90"/>
      <c r="L27" s="90"/>
      <c r="M27" s="82"/>
      <c r="N27" s="82"/>
      <c r="O27" s="82"/>
      <c r="P27" s="82">
        <v>0</v>
      </c>
      <c r="Q27" s="82">
        <f>'116'!Q46</f>
        <v>3861020000</v>
      </c>
      <c r="R27" s="82">
        <f>'116'!R46</f>
        <v>12747415200</v>
      </c>
      <c r="S27" s="272">
        <f t="shared" si="0"/>
        <v>8886395200</v>
      </c>
    </row>
    <row r="28" spans="1:19" ht="21" customHeight="1">
      <c r="A28" s="98">
        <v>26</v>
      </c>
      <c r="B28" s="89">
        <v>117</v>
      </c>
      <c r="C28" s="82" t="s">
        <v>1265</v>
      </c>
      <c r="D28" s="82"/>
      <c r="E28" s="82"/>
      <c r="F28" s="82"/>
      <c r="G28" s="82"/>
      <c r="H28" s="90"/>
      <c r="I28" s="90"/>
      <c r="J28" s="90"/>
      <c r="K28" s="90"/>
      <c r="L28" s="90"/>
      <c r="M28" s="82"/>
      <c r="N28" s="82"/>
      <c r="O28" s="82"/>
      <c r="P28" s="82">
        <v>0</v>
      </c>
      <c r="Q28" s="82">
        <f>'117'!Q41</f>
        <v>842784320</v>
      </c>
      <c r="R28" s="82">
        <f>'117'!R41</f>
        <v>1085660704</v>
      </c>
      <c r="S28" s="272">
        <f t="shared" si="0"/>
        <v>242876384</v>
      </c>
    </row>
    <row r="29" spans="1:19" ht="21" customHeight="1">
      <c r="A29" s="98">
        <v>27</v>
      </c>
      <c r="B29" s="89">
        <v>121</v>
      </c>
      <c r="C29" s="82" t="s">
        <v>1420</v>
      </c>
      <c r="D29" s="82" t="e">
        <f>#REF!</f>
        <v>#REF!</v>
      </c>
      <c r="E29" s="82" t="e">
        <f>#REF!</f>
        <v>#REF!</v>
      </c>
      <c r="F29" s="82" t="e">
        <f>#REF!</f>
        <v>#REF!</v>
      </c>
      <c r="G29" s="82">
        <v>1120164000</v>
      </c>
      <c r="H29" s="82" t="e">
        <f>#REF!</f>
        <v>#REF!</v>
      </c>
      <c r="I29" s="82">
        <v>2129624000</v>
      </c>
      <c r="J29" s="82">
        <v>2777308800</v>
      </c>
      <c r="K29" s="90">
        <v>2829318000</v>
      </c>
      <c r="L29" s="82">
        <f>'121'!M59</f>
        <v>4743921600</v>
      </c>
      <c r="M29" s="82">
        <f>'121'!N59</f>
        <v>4765889860</v>
      </c>
      <c r="N29" s="82">
        <f>'121'!O59</f>
        <v>7258657600</v>
      </c>
      <c r="O29" s="82">
        <f>'121'!P59</f>
        <v>9646166400</v>
      </c>
      <c r="P29" s="82">
        <f>'121'!Q59</f>
        <v>25067457952</v>
      </c>
      <c r="Q29" s="82">
        <f>'121'!R59</f>
        <v>27921252192</v>
      </c>
      <c r="R29" s="82">
        <f>'121'!S59</f>
        <v>38348048976</v>
      </c>
      <c r="S29" s="272">
        <f t="shared" si="0"/>
        <v>10426796784</v>
      </c>
    </row>
    <row r="30" spans="1:19" ht="21" customHeight="1">
      <c r="A30" s="98">
        <v>28</v>
      </c>
      <c r="B30" s="89">
        <v>131</v>
      </c>
      <c r="C30" s="82" t="s">
        <v>1109</v>
      </c>
      <c r="D30" s="82" t="e">
        <f>#REF!</f>
        <v>#REF!</v>
      </c>
      <c r="E30" s="82" t="e">
        <f>#REF!</f>
        <v>#REF!</v>
      </c>
      <c r="F30" s="82" t="e">
        <f>#REF!</f>
        <v>#REF!</v>
      </c>
      <c r="G30" s="82">
        <v>8198449200</v>
      </c>
      <c r="H30" s="82" t="e">
        <f>#REF!</f>
        <v>#REF!</v>
      </c>
      <c r="I30" s="82" t="e">
        <f>#REF!</f>
        <v>#REF!</v>
      </c>
      <c r="J30" s="82" t="e">
        <f>#REF!</f>
        <v>#REF!</v>
      </c>
      <c r="K30" s="90">
        <v>12346564127</v>
      </c>
      <c r="L30" s="82">
        <f>'131'!M46</f>
        <v>23225587505.985714</v>
      </c>
      <c r="M30" s="82">
        <f>'131'!N46</f>
        <v>1432566865.7</v>
      </c>
      <c r="N30" s="82">
        <f>'131'!O46</f>
        <v>1677633109.7</v>
      </c>
      <c r="O30" s="82">
        <f>'131'!P46</f>
        <v>2264921270</v>
      </c>
      <c r="P30" s="82">
        <f>'131'!Q46</f>
        <v>2276373110</v>
      </c>
      <c r="Q30" s="82">
        <f>'131'!R46</f>
        <v>2634829110</v>
      </c>
      <c r="R30" s="82">
        <f>'131'!S46</f>
        <v>3136231254</v>
      </c>
      <c r="S30" s="272">
        <f t="shared" si="0"/>
        <v>501402144</v>
      </c>
    </row>
    <row r="31" spans="1:19" ht="21" customHeight="1">
      <c r="A31" s="98">
        <v>29</v>
      </c>
      <c r="B31" s="89">
        <v>132</v>
      </c>
      <c r="C31" s="82" t="s">
        <v>60</v>
      </c>
      <c r="D31" s="82" t="e">
        <f>#REF!</f>
        <v>#REF!</v>
      </c>
      <c r="E31" s="82" t="e">
        <f>#REF!</f>
        <v>#REF!</v>
      </c>
      <c r="F31" s="82" t="e">
        <f>#REF!</f>
        <v>#REF!</v>
      </c>
      <c r="G31" s="92">
        <v>39464354920</v>
      </c>
      <c r="H31" s="92" t="e">
        <f>#REF!</f>
        <v>#REF!</v>
      </c>
      <c r="I31" s="92" t="e">
        <f>#REF!</f>
        <v>#REF!</v>
      </c>
      <c r="J31" s="92" t="e">
        <f>#REF!</f>
        <v>#REF!</v>
      </c>
      <c r="K31" s="90">
        <v>87580662108</v>
      </c>
      <c r="L31" s="92">
        <f>'132'!M51</f>
        <v>132466284397.14285</v>
      </c>
      <c r="M31" s="82">
        <f>'132'!N51</f>
        <v>132095741109.70999</v>
      </c>
      <c r="N31" s="82">
        <f>'132'!O51</f>
        <v>135545848693.70999</v>
      </c>
      <c r="O31" s="82">
        <f>'132'!P51</f>
        <v>159410627573.70999</v>
      </c>
      <c r="P31" s="82">
        <f>'132'!Q51</f>
        <v>180834385467.70999</v>
      </c>
      <c r="Q31" s="82">
        <f>'132'!R51</f>
        <v>193704398029.70999</v>
      </c>
      <c r="R31" s="82">
        <f>'132'!S51</f>
        <v>218265538337.01001</v>
      </c>
      <c r="S31" s="272">
        <f t="shared" si="0"/>
        <v>24561140307.300018</v>
      </c>
    </row>
    <row r="32" spans="1:19" ht="21" customHeight="1">
      <c r="A32" s="98">
        <v>30</v>
      </c>
      <c r="B32" s="89">
        <v>141</v>
      </c>
      <c r="C32" s="82" t="s">
        <v>325</v>
      </c>
      <c r="D32" s="82" t="e">
        <f>'141'!#REF!</f>
        <v>#REF!</v>
      </c>
      <c r="E32" s="82" t="e">
        <f>'141'!#REF!</f>
        <v>#REF!</v>
      </c>
      <c r="F32" s="82" t="e">
        <f>'141'!#REF!</f>
        <v>#REF!</v>
      </c>
      <c r="G32" s="82">
        <v>296182400</v>
      </c>
      <c r="H32" s="82" t="e">
        <f>'141'!#REF!</f>
        <v>#REF!</v>
      </c>
      <c r="I32" s="82" t="e">
        <f>'141'!#REF!</f>
        <v>#REF!</v>
      </c>
      <c r="J32" s="82" t="e">
        <f>'141'!#REF!</f>
        <v>#REF!</v>
      </c>
      <c r="K32" s="90">
        <v>1778123200</v>
      </c>
      <c r="L32" s="82">
        <f>'141'!M46</f>
        <v>1674966400</v>
      </c>
      <c r="M32" s="82">
        <f>'141'!N46</f>
        <v>1694840320</v>
      </c>
      <c r="N32" s="82">
        <f>'141'!O46</f>
        <v>2253987520</v>
      </c>
      <c r="O32" s="82">
        <f>'141'!P46</f>
        <v>2942374240</v>
      </c>
      <c r="P32" s="82">
        <f>'141'!Q46</f>
        <v>3485444000</v>
      </c>
      <c r="Q32" s="82">
        <f>'141'!R46</f>
        <v>4800447760</v>
      </c>
      <c r="R32" s="82">
        <f>'141'!S46</f>
        <v>15159355200</v>
      </c>
      <c r="S32" s="272">
        <f t="shared" si="0"/>
        <v>10358907440</v>
      </c>
    </row>
    <row r="33" spans="1:26" ht="21" customHeight="1">
      <c r="A33" s="98">
        <v>31</v>
      </c>
      <c r="B33" s="89">
        <v>151</v>
      </c>
      <c r="C33" s="82" t="s">
        <v>80</v>
      </c>
      <c r="D33" s="82" t="e">
        <f>#REF!</f>
        <v>#REF!</v>
      </c>
      <c r="E33" s="82" t="e">
        <f>#REF!</f>
        <v>#REF!</v>
      </c>
      <c r="F33" s="82" t="e">
        <f>#REF!</f>
        <v>#REF!</v>
      </c>
      <c r="G33" s="82">
        <v>14395601571</v>
      </c>
      <c r="H33" s="82" t="e">
        <f>#REF!</f>
        <v>#REF!</v>
      </c>
      <c r="I33" s="82" t="e">
        <f>#REF!</f>
        <v>#REF!</v>
      </c>
      <c r="J33" s="82" t="e">
        <f>#REF!</f>
        <v>#REF!</v>
      </c>
      <c r="K33" s="90">
        <v>18153248520</v>
      </c>
      <c r="L33" s="82" t="e">
        <f>'151'!M73</f>
        <v>#REF!</v>
      </c>
      <c r="M33" s="82" t="e">
        <f>'151'!N73</f>
        <v>#REF!</v>
      </c>
      <c r="N33" s="82" t="e">
        <f>'151'!O73</f>
        <v>#REF!</v>
      </c>
      <c r="O33" s="82" t="e">
        <f>'151'!P73</f>
        <v>#REF!</v>
      </c>
      <c r="P33" s="82" t="e">
        <f>'151'!Q73</f>
        <v>#REF!</v>
      </c>
      <c r="Q33" s="82">
        <f>'151'!R73</f>
        <v>67599257120</v>
      </c>
      <c r="R33" s="82">
        <f>'151'!S73</f>
        <v>92321166020</v>
      </c>
      <c r="S33" s="272">
        <f t="shared" si="0"/>
        <v>24721908900</v>
      </c>
    </row>
    <row r="34" spans="1:26" ht="21" customHeight="1">
      <c r="A34" s="98">
        <v>32</v>
      </c>
      <c r="B34" s="89">
        <v>152</v>
      </c>
      <c r="C34" s="82" t="s">
        <v>1110</v>
      </c>
      <c r="D34" s="82"/>
      <c r="E34" s="82"/>
      <c r="F34" s="82"/>
      <c r="G34" s="82"/>
      <c r="H34" s="82"/>
      <c r="I34" s="82"/>
      <c r="J34" s="82"/>
      <c r="K34" s="90"/>
      <c r="L34" s="82"/>
      <c r="M34" s="82"/>
      <c r="N34" s="82" t="e">
        <f>'152'!Q84</f>
        <v>#REF!</v>
      </c>
      <c r="O34" s="82">
        <f>'152'!R84</f>
        <v>109212823160</v>
      </c>
      <c r="P34" s="82">
        <f>'152'!S84</f>
        <v>197292076646</v>
      </c>
      <c r="Q34" s="82">
        <f>'152'!T84</f>
        <v>259409942864</v>
      </c>
      <c r="R34" s="82">
        <f>'152'!U84</f>
        <v>358603761931</v>
      </c>
      <c r="S34" s="272">
        <f t="shared" si="0"/>
        <v>99193819067</v>
      </c>
    </row>
    <row r="35" spans="1:26" ht="21" customHeight="1">
      <c r="A35" s="98">
        <v>33</v>
      </c>
      <c r="B35" s="89">
        <v>161</v>
      </c>
      <c r="C35" s="82" t="s">
        <v>1111</v>
      </c>
      <c r="D35" s="82" t="e">
        <f>'161'!D36</f>
        <v>#REF!</v>
      </c>
      <c r="E35" s="82" t="e">
        <f>'161'!E36</f>
        <v>#REF!</v>
      </c>
      <c r="F35" s="82" t="e">
        <f>'161'!F36</f>
        <v>#REF!</v>
      </c>
      <c r="G35" s="82">
        <v>869997600</v>
      </c>
      <c r="H35" s="82" t="e">
        <f>'161'!H36</f>
        <v>#REF!</v>
      </c>
      <c r="I35" s="82" t="e">
        <f>'161'!I36</f>
        <v>#REF!</v>
      </c>
      <c r="J35" s="82" t="e">
        <f>'161'!J36</f>
        <v>#REF!</v>
      </c>
      <c r="K35" s="90">
        <f>1688550948+791945160+660502400</f>
        <v>3140998508</v>
      </c>
      <c r="L35" s="82">
        <f>'161'!M43</f>
        <v>3943026145.0714283</v>
      </c>
      <c r="M35" s="82">
        <f>'161'!N43</f>
        <v>3806796061.0714283</v>
      </c>
      <c r="N35" s="82">
        <f>'161'!O43</f>
        <v>2919452160.5</v>
      </c>
      <c r="O35" s="82">
        <f>'161'!P43</f>
        <v>4750486480.5</v>
      </c>
      <c r="P35" s="82">
        <f>'161'!Q43</f>
        <v>5271892226</v>
      </c>
      <c r="Q35" s="82">
        <f>'161'!R43</f>
        <v>6806362876</v>
      </c>
      <c r="R35" s="82">
        <f>'161'!S43</f>
        <v>8102000696</v>
      </c>
      <c r="S35" s="272">
        <f t="shared" si="0"/>
        <v>1295637820</v>
      </c>
    </row>
    <row r="36" spans="1:26" ht="21" customHeight="1">
      <c r="A36" s="98">
        <v>34</v>
      </c>
      <c r="B36" s="89">
        <v>171</v>
      </c>
      <c r="C36" s="82" t="s">
        <v>1112</v>
      </c>
      <c r="D36" s="82" t="e">
        <f>'171'!#REF!</f>
        <v>#REF!</v>
      </c>
      <c r="E36" s="82" t="e">
        <f>'171'!#REF!</f>
        <v>#REF!</v>
      </c>
      <c r="F36" s="82" t="e">
        <f>'171'!#REF!</f>
        <v>#REF!</v>
      </c>
      <c r="G36" s="82">
        <v>522060400</v>
      </c>
      <c r="H36" s="82" t="e">
        <f>'171'!#REF!</f>
        <v>#REF!</v>
      </c>
      <c r="I36" s="82" t="e">
        <f>'171'!#REF!</f>
        <v>#REF!</v>
      </c>
      <c r="J36" s="82" t="e">
        <f>'171'!#REF!</f>
        <v>#REF!</v>
      </c>
      <c r="K36" s="90">
        <v>1512814108</v>
      </c>
      <c r="L36" s="82">
        <f>'171'!N50</f>
        <v>1347482415.5999999</v>
      </c>
      <c r="M36" s="82">
        <f>'171'!O50</f>
        <v>1624523015.5999999</v>
      </c>
      <c r="N36" s="82">
        <f>'171'!P50</f>
        <v>1925432615.5999999</v>
      </c>
      <c r="O36" s="82">
        <f>'171'!Q50</f>
        <v>2254152455.5999999</v>
      </c>
      <c r="P36" s="82">
        <f>'171'!R50</f>
        <v>2423076935.5999999</v>
      </c>
      <c r="Q36" s="82">
        <f>'171'!S50</f>
        <v>4430111815.6000004</v>
      </c>
      <c r="R36" s="82">
        <f>'171'!T50</f>
        <v>6267499671.6000004</v>
      </c>
      <c r="S36" s="272">
        <f t="shared" si="0"/>
        <v>1837387856</v>
      </c>
    </row>
    <row r="37" spans="1:26" ht="21" customHeight="1">
      <c r="A37" s="98">
        <v>35</v>
      </c>
      <c r="B37" s="89">
        <v>181</v>
      </c>
      <c r="C37" s="82" t="s">
        <v>1113</v>
      </c>
      <c r="D37" s="82" t="e">
        <f>#REF!</f>
        <v>#REF!</v>
      </c>
      <c r="E37" s="82" t="e">
        <f>#REF!</f>
        <v>#REF!</v>
      </c>
      <c r="F37" s="82" t="e">
        <f>#REF!</f>
        <v>#REF!</v>
      </c>
      <c r="G37" s="82">
        <v>887002400</v>
      </c>
      <c r="H37" s="82" t="e">
        <f>#REF!</f>
        <v>#REF!</v>
      </c>
      <c r="I37" s="82" t="e">
        <f>#REF!</f>
        <v>#REF!</v>
      </c>
      <c r="J37" s="82" t="e">
        <f>#REF!</f>
        <v>#REF!</v>
      </c>
      <c r="K37" s="90">
        <v>1464065118</v>
      </c>
      <c r="L37" s="82" t="e">
        <f>'181'!M50</f>
        <v>#REF!</v>
      </c>
      <c r="M37" s="82" t="e">
        <f>'181'!N50</f>
        <v>#REF!</v>
      </c>
      <c r="N37" s="82" t="e">
        <f>'181'!O50</f>
        <v>#REF!</v>
      </c>
      <c r="O37" s="82">
        <f>'181'!P50</f>
        <v>2580349062</v>
      </c>
      <c r="P37" s="82">
        <f>'181'!Q50</f>
        <v>2817024262</v>
      </c>
      <c r="Q37" s="82">
        <f>'181'!R50</f>
        <v>4867114102</v>
      </c>
      <c r="R37" s="82">
        <f>'181'!S50</f>
        <v>6074037046</v>
      </c>
      <c r="S37" s="272">
        <f t="shared" si="0"/>
        <v>1206922944</v>
      </c>
    </row>
    <row r="38" spans="1:26" ht="21" customHeight="1">
      <c r="A38" s="98">
        <v>36</v>
      </c>
      <c r="B38" s="89">
        <v>191</v>
      </c>
      <c r="C38" s="82" t="s">
        <v>97</v>
      </c>
      <c r="D38" s="82" t="e">
        <f>'191'!D30</f>
        <v>#REF!</v>
      </c>
      <c r="E38" s="82" t="e">
        <f>'191'!E30</f>
        <v>#REF!</v>
      </c>
      <c r="F38" s="82" t="e">
        <f>'191'!F30</f>
        <v>#REF!</v>
      </c>
      <c r="G38" s="82">
        <v>563710400</v>
      </c>
      <c r="H38" s="82" t="e">
        <f>'191'!H30</f>
        <v>#REF!</v>
      </c>
      <c r="I38" s="82" t="e">
        <f>'191'!I30</f>
        <v>#REF!</v>
      </c>
      <c r="J38" s="82" t="e">
        <f>'191'!J30</f>
        <v>#REF!</v>
      </c>
      <c r="K38" s="90">
        <v>1637448296</v>
      </c>
      <c r="L38" s="82">
        <f>'191'!M51</f>
        <v>2221154813</v>
      </c>
      <c r="M38" s="82">
        <f>'191'!N51</f>
        <v>2067964813</v>
      </c>
      <c r="N38" s="82">
        <f>'191'!O51</f>
        <v>2612324013</v>
      </c>
      <c r="O38" s="82">
        <f>'191'!P51</f>
        <v>3950376813</v>
      </c>
      <c r="P38" s="82">
        <f>'191'!Q51</f>
        <v>4494932013</v>
      </c>
      <c r="Q38" s="82">
        <f>'191'!R51</f>
        <v>5692145133</v>
      </c>
      <c r="R38" s="82">
        <f>'191'!S51</f>
        <v>7041843757</v>
      </c>
      <c r="S38" s="272">
        <f t="shared" si="0"/>
        <v>1349698624</v>
      </c>
    </row>
    <row r="39" spans="1:26" ht="21" customHeight="1">
      <c r="A39" s="98">
        <v>37</v>
      </c>
      <c r="B39" s="89">
        <v>201</v>
      </c>
      <c r="C39" s="82" t="s">
        <v>1114</v>
      </c>
      <c r="D39" s="82">
        <f>'201'!D41</f>
        <v>0</v>
      </c>
      <c r="E39" s="82">
        <f>'201'!E41</f>
        <v>0</v>
      </c>
      <c r="F39" s="82">
        <f>'201'!F41</f>
        <v>0</v>
      </c>
      <c r="G39" s="82">
        <v>644624000</v>
      </c>
      <c r="H39" s="82">
        <f>'201'!H41</f>
        <v>0</v>
      </c>
      <c r="I39" s="82">
        <f>'201'!I41</f>
        <v>0</v>
      </c>
      <c r="J39" s="82">
        <f>'201'!J41</f>
        <v>0</v>
      </c>
      <c r="K39" s="90">
        <f>'[1]20'!L51</f>
        <v>3203181540</v>
      </c>
      <c r="L39" s="83">
        <f>'201'!M57</f>
        <v>2386681021</v>
      </c>
      <c r="M39" s="82">
        <f>'201'!N57</f>
        <v>4605232901</v>
      </c>
      <c r="N39" s="82">
        <f>'201'!O57</f>
        <v>5644496101</v>
      </c>
      <c r="O39" s="82">
        <f>'201'!P57</f>
        <v>6103620101</v>
      </c>
      <c r="P39" s="82">
        <f>'201'!Q57</f>
        <v>6888312261</v>
      </c>
      <c r="Q39" s="82">
        <f>'201'!R57</f>
        <v>8621076741</v>
      </c>
      <c r="R39" s="82">
        <f>'201'!S57</f>
        <v>14312704645</v>
      </c>
      <c r="S39" s="272">
        <f t="shared" si="0"/>
        <v>5691627904</v>
      </c>
    </row>
    <row r="40" spans="1:26" ht="21" customHeight="1">
      <c r="A40" s="98">
        <v>38</v>
      </c>
      <c r="B40" s="89">
        <v>211</v>
      </c>
      <c r="C40" s="82" t="s">
        <v>1115</v>
      </c>
      <c r="D40" s="82" t="e">
        <f>#REF!</f>
        <v>#REF!</v>
      </c>
      <c r="E40" s="82" t="e">
        <f>#REF!</f>
        <v>#REF!</v>
      </c>
      <c r="F40" s="82" t="e">
        <f>#REF!</f>
        <v>#REF!</v>
      </c>
      <c r="G40" s="82">
        <v>536919360</v>
      </c>
      <c r="H40" s="82" t="e">
        <f>#REF!</f>
        <v>#REF!</v>
      </c>
      <c r="I40" s="82" t="e">
        <f>#REF!</f>
        <v>#REF!</v>
      </c>
      <c r="J40" s="82" t="e">
        <f>#REF!</f>
        <v>#REF!</v>
      </c>
      <c r="K40" s="90">
        <v>3336099200</v>
      </c>
      <c r="L40" s="82">
        <f>'211'!M50</f>
        <v>4222564600</v>
      </c>
      <c r="M40" s="82">
        <f>'211'!N50</f>
        <v>4304777080</v>
      </c>
      <c r="N40" s="82">
        <f>'211'!O50</f>
        <v>4401810280</v>
      </c>
      <c r="O40" s="82">
        <f>'211'!P50</f>
        <v>5135292520</v>
      </c>
      <c r="P40" s="82">
        <f>'211'!Q50</f>
        <v>6942354120</v>
      </c>
      <c r="Q40" s="82">
        <f>'211'!R50</f>
        <v>8146056840</v>
      </c>
      <c r="R40" s="82">
        <f>'211'!S50</f>
        <v>5553120040</v>
      </c>
      <c r="S40" s="272">
        <f t="shared" si="0"/>
        <v>-2592936800</v>
      </c>
    </row>
    <row r="41" spans="1:26" ht="21" customHeight="1">
      <c r="A41" s="98">
        <v>39</v>
      </c>
      <c r="B41" s="89">
        <v>221</v>
      </c>
      <c r="C41" s="82" t="s">
        <v>1116</v>
      </c>
      <c r="D41" s="82" t="e">
        <f>#REF!</f>
        <v>#REF!</v>
      </c>
      <c r="E41" s="82" t="e">
        <f>#REF!</f>
        <v>#REF!</v>
      </c>
      <c r="F41" s="82" t="e">
        <f>#REF!</f>
        <v>#REF!</v>
      </c>
      <c r="G41" s="82">
        <v>7163075000</v>
      </c>
      <c r="H41" s="82" t="e">
        <f>#REF!</f>
        <v>#REF!</v>
      </c>
      <c r="I41" s="82" t="e">
        <f>#REF!</f>
        <v>#REF!</v>
      </c>
      <c r="J41" s="82" t="e">
        <f>#REF!</f>
        <v>#REF!</v>
      </c>
      <c r="K41" s="90">
        <f>'[1]22'!K47</f>
        <v>14633732140</v>
      </c>
      <c r="L41" s="82" t="e">
        <f>'221'!L66</f>
        <v>#REF!</v>
      </c>
      <c r="M41" s="82" t="e">
        <f>'221'!M66</f>
        <v>#REF!</v>
      </c>
      <c r="N41" s="82" t="e">
        <f>'221'!M66</f>
        <v>#REF!</v>
      </c>
      <c r="O41" s="82">
        <f>'221'!N66</f>
        <v>66346294424</v>
      </c>
      <c r="P41" s="82">
        <f>'221'!O66</f>
        <v>72602190058</v>
      </c>
      <c r="Q41" s="82">
        <f>'221'!P66</f>
        <v>79974373120</v>
      </c>
      <c r="R41" s="82">
        <f>'221'!Q66</f>
        <v>102615623952</v>
      </c>
      <c r="S41" s="272">
        <f t="shared" si="0"/>
        <v>22641250832</v>
      </c>
    </row>
    <row r="42" spans="1:26" ht="21" customHeight="1">
      <c r="A42" s="98">
        <v>40</v>
      </c>
      <c r="B42" s="89">
        <v>222</v>
      </c>
      <c r="C42" s="82" t="s">
        <v>473</v>
      </c>
      <c r="D42" s="82"/>
      <c r="E42" s="82"/>
      <c r="F42" s="82"/>
      <c r="G42" s="82"/>
      <c r="H42" s="82"/>
      <c r="I42" s="82"/>
      <c r="J42" s="82"/>
      <c r="K42" s="90"/>
      <c r="L42" s="82" t="e">
        <f>'222'!C52</f>
        <v>#REF!</v>
      </c>
      <c r="M42" s="82">
        <f>'222'!D52</f>
        <v>1921813600</v>
      </c>
      <c r="N42" s="82">
        <f>'222'!D52</f>
        <v>1921813600</v>
      </c>
      <c r="O42" s="82">
        <f>'222'!E52</f>
        <v>3019436960</v>
      </c>
      <c r="P42" s="82">
        <f>'222'!F52</f>
        <v>3231888800</v>
      </c>
      <c r="Q42" s="82">
        <f>'222'!G52</f>
        <v>6259177920</v>
      </c>
      <c r="R42" s="82">
        <f>'222'!H52</f>
        <v>5514519680</v>
      </c>
      <c r="S42" s="272">
        <f t="shared" si="0"/>
        <v>-744658240</v>
      </c>
    </row>
    <row r="43" spans="1:26" ht="21" customHeight="1">
      <c r="A43" s="98">
        <v>41</v>
      </c>
      <c r="B43" s="89">
        <v>223</v>
      </c>
      <c r="C43" s="82" t="s">
        <v>533</v>
      </c>
      <c r="D43" s="82"/>
      <c r="E43" s="82"/>
      <c r="F43" s="82"/>
      <c r="G43" s="82"/>
      <c r="H43" s="82"/>
      <c r="I43" s="82"/>
      <c r="J43" s="82"/>
      <c r="K43" s="90"/>
      <c r="L43" s="82"/>
      <c r="M43" s="82">
        <f>'223'!D45</f>
        <v>590810400</v>
      </c>
      <c r="N43" s="82">
        <f>'223'!D45</f>
        <v>590810400</v>
      </c>
      <c r="O43" s="82">
        <f>'223'!E45</f>
        <v>927472480</v>
      </c>
      <c r="P43" s="82">
        <f>'223'!F45</f>
        <v>1146462240</v>
      </c>
      <c r="Q43" s="82">
        <f>'223'!G45</f>
        <v>1476462240</v>
      </c>
      <c r="R43" s="82">
        <f>'223'!H45</f>
        <v>1583131904</v>
      </c>
      <c r="S43" s="272">
        <f t="shared" si="0"/>
        <v>106669664</v>
      </c>
    </row>
    <row r="44" spans="1:26" ht="21" customHeight="1">
      <c r="A44" s="98">
        <v>42</v>
      </c>
      <c r="B44" s="89">
        <v>231</v>
      </c>
      <c r="C44" s="82" t="s">
        <v>328</v>
      </c>
      <c r="D44" s="82" t="e">
        <f>'231'!#REF!</f>
        <v>#REF!</v>
      </c>
      <c r="E44" s="82" t="e">
        <f>'231'!#REF!</f>
        <v>#REF!</v>
      </c>
      <c r="F44" s="82" t="e">
        <f>'231'!#REF!</f>
        <v>#REF!</v>
      </c>
      <c r="G44" s="82">
        <v>4386348000</v>
      </c>
      <c r="H44" s="82" t="e">
        <f>'231'!#REF!</f>
        <v>#REF!</v>
      </c>
      <c r="I44" s="82" t="e">
        <f>'231'!#REF!</f>
        <v>#REF!</v>
      </c>
      <c r="J44" s="82" t="e">
        <f>'231'!#REF!</f>
        <v>#REF!</v>
      </c>
      <c r="K44" s="90">
        <v>8783810960</v>
      </c>
      <c r="L44" s="82">
        <f>'231'!K66</f>
        <v>16313294637.714287</v>
      </c>
      <c r="M44" s="82">
        <f>'231'!L66</f>
        <v>25234452237.714287</v>
      </c>
      <c r="N44" s="82">
        <f>'231'!L66</f>
        <v>25234452237.714287</v>
      </c>
      <c r="O44" s="82">
        <f>'231'!M66</f>
        <v>31145317837.714287</v>
      </c>
      <c r="P44" s="82">
        <f>'231'!N66</f>
        <v>35700043934</v>
      </c>
      <c r="Q44" s="82">
        <f>'231'!O66</f>
        <v>43475929294</v>
      </c>
      <c r="R44" s="82">
        <f>'231'!P66</f>
        <v>62249529774</v>
      </c>
      <c r="S44" s="272">
        <f t="shared" si="0"/>
        <v>18773600480</v>
      </c>
      <c r="Z44" s="255"/>
    </row>
    <row r="45" spans="1:26" ht="21" customHeight="1">
      <c r="A45" s="98">
        <v>43</v>
      </c>
      <c r="B45" s="89">
        <v>232</v>
      </c>
      <c r="C45" s="82" t="s">
        <v>1117</v>
      </c>
      <c r="D45" s="82"/>
      <c r="E45" s="82"/>
      <c r="F45" s="82"/>
      <c r="G45" s="82"/>
      <c r="H45" s="82"/>
      <c r="I45" s="82"/>
      <c r="J45" s="82"/>
      <c r="K45" s="90"/>
      <c r="L45" s="82"/>
      <c r="M45" s="82"/>
      <c r="N45" s="82"/>
      <c r="O45" s="82">
        <v>0</v>
      </c>
      <c r="P45" s="82">
        <f>'232'!F43</f>
        <v>701545760</v>
      </c>
      <c r="Q45" s="82">
        <f>'232'!G43</f>
        <v>671195760</v>
      </c>
      <c r="R45" s="82">
        <f>'232'!H43</f>
        <v>961805456</v>
      </c>
      <c r="S45" s="272">
        <f t="shared" si="0"/>
        <v>290609696</v>
      </c>
    </row>
    <row r="46" spans="1:26" ht="21" customHeight="1">
      <c r="A46" s="98">
        <v>44</v>
      </c>
      <c r="B46" s="89">
        <v>241</v>
      </c>
      <c r="C46" s="82" t="s">
        <v>1118</v>
      </c>
      <c r="D46" s="82" t="e">
        <f>#REF!</f>
        <v>#REF!</v>
      </c>
      <c r="E46" s="82" t="e">
        <f>#REF!</f>
        <v>#REF!</v>
      </c>
      <c r="F46" s="82" t="e">
        <f>#REF!</f>
        <v>#REF!</v>
      </c>
      <c r="G46" s="82">
        <v>414108000</v>
      </c>
      <c r="H46" s="82" t="e">
        <f>#REF!</f>
        <v>#REF!</v>
      </c>
      <c r="I46" s="82" t="e">
        <f>#REF!</f>
        <v>#REF!</v>
      </c>
      <c r="J46" s="82" t="e">
        <f>#REF!</f>
        <v>#REF!</v>
      </c>
      <c r="K46" s="90">
        <f>'[1]24'!K53</f>
        <v>893742585</v>
      </c>
      <c r="L46" s="82" t="e">
        <f>'241'!L50</f>
        <v>#REF!</v>
      </c>
      <c r="M46" s="82">
        <f>'241'!M50</f>
        <v>1817810400</v>
      </c>
      <c r="N46" s="82">
        <f>'241'!M50</f>
        <v>1817810400</v>
      </c>
      <c r="O46" s="82">
        <f>'241'!N50</f>
        <v>3093668960</v>
      </c>
      <c r="P46" s="82">
        <f>'241'!O50</f>
        <v>2875175200</v>
      </c>
      <c r="Q46" s="82">
        <f>'241'!P50</f>
        <v>4847271840</v>
      </c>
      <c r="R46" s="82">
        <f>'241'!Q50</f>
        <v>5980285520</v>
      </c>
      <c r="S46" s="272">
        <f t="shared" si="0"/>
        <v>1133013680</v>
      </c>
    </row>
    <row r="47" spans="1:26" ht="21" customHeight="1">
      <c r="A47" s="98">
        <v>45</v>
      </c>
      <c r="B47" s="89">
        <v>242</v>
      </c>
      <c r="C47" s="82" t="s">
        <v>1177</v>
      </c>
      <c r="D47" s="82"/>
      <c r="E47" s="82"/>
      <c r="F47" s="82"/>
      <c r="G47" s="82"/>
      <c r="H47" s="82"/>
      <c r="I47" s="82"/>
      <c r="J47" s="82"/>
      <c r="K47" s="90"/>
      <c r="L47" s="82"/>
      <c r="M47" s="82"/>
      <c r="N47" s="82"/>
      <c r="O47" s="82"/>
      <c r="P47" s="82">
        <f>'242'!C42</f>
        <v>0</v>
      </c>
      <c r="Q47" s="82">
        <f>'242'!D42</f>
        <v>1608392160</v>
      </c>
      <c r="R47" s="82">
        <f>'242'!E42</f>
        <v>2571072928</v>
      </c>
      <c r="S47" s="272">
        <f t="shared" si="0"/>
        <v>962680768</v>
      </c>
    </row>
    <row r="48" spans="1:26" ht="21" customHeight="1">
      <c r="A48" s="98">
        <v>46</v>
      </c>
      <c r="B48" s="89">
        <v>251</v>
      </c>
      <c r="C48" s="82" t="s">
        <v>1119</v>
      </c>
      <c r="D48" s="82" t="e">
        <f>#REF!</f>
        <v>#REF!</v>
      </c>
      <c r="E48" s="82" t="e">
        <f>#REF!</f>
        <v>#REF!</v>
      </c>
      <c r="F48" s="82" t="e">
        <f>#REF!</f>
        <v>#REF!</v>
      </c>
      <c r="G48" s="82">
        <v>3229372800</v>
      </c>
      <c r="H48" s="82" t="e">
        <f>#REF!</f>
        <v>#REF!</v>
      </c>
      <c r="I48" s="82" t="e">
        <f>#REF!</f>
        <v>#REF!</v>
      </c>
      <c r="J48" s="82" t="e">
        <f>#REF!</f>
        <v>#REF!</v>
      </c>
      <c r="K48" s="90">
        <f>'[1]25'!L43</f>
        <v>2423412800</v>
      </c>
      <c r="L48" s="82">
        <f>'251'!M48</f>
        <v>1971384180</v>
      </c>
      <c r="M48" s="82">
        <f>'251'!N48</f>
        <v>2628938904</v>
      </c>
      <c r="N48" s="82">
        <f>'251'!N48</f>
        <v>2628938904</v>
      </c>
      <c r="O48" s="82">
        <f>'251'!O48</f>
        <v>3883859224</v>
      </c>
      <c r="P48" s="82">
        <f>'251'!P48</f>
        <v>4868531064</v>
      </c>
      <c r="Q48" s="82">
        <f>'251'!Q48</f>
        <v>8525355384</v>
      </c>
      <c r="R48" s="82">
        <f>'251'!R48</f>
        <v>10444008920</v>
      </c>
      <c r="S48" s="272">
        <f t="shared" si="0"/>
        <v>1918653536</v>
      </c>
    </row>
    <row r="49" spans="1:46" ht="21" customHeight="1">
      <c r="A49" s="98">
        <v>47</v>
      </c>
      <c r="B49" s="89">
        <v>261</v>
      </c>
      <c r="C49" s="82" t="s">
        <v>1120</v>
      </c>
      <c r="D49" s="82" t="e">
        <f>#REF!</f>
        <v>#REF!</v>
      </c>
      <c r="E49" s="82" t="e">
        <f>#REF!</f>
        <v>#REF!</v>
      </c>
      <c r="F49" s="82" t="e">
        <f>#REF!</f>
        <v>#REF!</v>
      </c>
      <c r="G49" s="82">
        <v>1473875200</v>
      </c>
      <c r="H49" s="82" t="e">
        <f>#REF!</f>
        <v>#REF!</v>
      </c>
      <c r="I49" s="82" t="e">
        <f>#REF!</f>
        <v>#REF!</v>
      </c>
      <c r="J49" s="82" t="e">
        <f>#REF!</f>
        <v>#REF!</v>
      </c>
      <c r="K49" s="90">
        <v>2213083152</v>
      </c>
      <c r="L49" s="82">
        <f>'261'!M59</f>
        <v>2917731880.8000002</v>
      </c>
      <c r="M49" s="82">
        <f>'261'!N59</f>
        <v>5532058560.8000002</v>
      </c>
      <c r="N49" s="82">
        <f>'261'!N59</f>
        <v>5532058560.8000002</v>
      </c>
      <c r="O49" s="82">
        <f>'261'!O59</f>
        <v>4958886400.8000002</v>
      </c>
      <c r="P49" s="82">
        <f>'261'!P59</f>
        <v>13206683601</v>
      </c>
      <c r="Q49" s="82">
        <f>'261'!Q59</f>
        <v>9527350401</v>
      </c>
      <c r="R49" s="82">
        <f>'261'!R59</f>
        <v>11719224340</v>
      </c>
      <c r="S49" s="272">
        <f t="shared" si="0"/>
        <v>2191873939</v>
      </c>
      <c r="Z49" s="255">
        <v>1553204022280</v>
      </c>
    </row>
    <row r="50" spans="1:46" ht="21" customHeight="1">
      <c r="A50" s="98">
        <v>48</v>
      </c>
      <c r="B50" s="89">
        <v>271</v>
      </c>
      <c r="C50" s="82" t="s">
        <v>936</v>
      </c>
      <c r="D50" s="82" t="e">
        <f>'271'!#REF!</f>
        <v>#REF!</v>
      </c>
      <c r="E50" s="82" t="e">
        <f>'271'!#REF!</f>
        <v>#REF!</v>
      </c>
      <c r="F50" s="82" t="e">
        <f>'271'!#REF!</f>
        <v>#REF!</v>
      </c>
      <c r="G50" s="82">
        <v>248302600</v>
      </c>
      <c r="H50" s="82" t="e">
        <f>'271'!#REF!</f>
        <v>#REF!</v>
      </c>
      <c r="I50" s="82" t="e">
        <f>'271'!#REF!</f>
        <v>#REF!</v>
      </c>
      <c r="J50" s="82" t="e">
        <f>'271'!#REF!</f>
        <v>#REF!</v>
      </c>
      <c r="K50" s="90">
        <v>590046650</v>
      </c>
      <c r="L50" s="82">
        <f>'271'!M51</f>
        <v>629564751</v>
      </c>
      <c r="M50" s="82">
        <f>'271'!N51</f>
        <v>30285349556</v>
      </c>
      <c r="N50" s="82">
        <f>'271'!N51</f>
        <v>30285349556</v>
      </c>
      <c r="O50" s="82">
        <f>'271'!O51</f>
        <v>30824085916</v>
      </c>
      <c r="P50" s="82">
        <f>'271'!P51</f>
        <v>32083316276</v>
      </c>
      <c r="Q50" s="82">
        <f>'271'!Q51</f>
        <v>32368789556</v>
      </c>
      <c r="R50" s="82">
        <f>'271'!R51</f>
        <v>32123263380</v>
      </c>
      <c r="S50" s="272">
        <f t="shared" si="0"/>
        <v>-245526176</v>
      </c>
      <c r="Z50" s="255">
        <f>R65</f>
        <v>1553204022280.4099</v>
      </c>
    </row>
    <row r="51" spans="1:46" ht="21" customHeight="1">
      <c r="A51" s="98">
        <v>49</v>
      </c>
      <c r="B51" s="89">
        <v>291</v>
      </c>
      <c r="C51" s="82" t="s">
        <v>1121</v>
      </c>
      <c r="D51" s="82" t="e">
        <f>#REF!</f>
        <v>#REF!</v>
      </c>
      <c r="E51" s="82" t="e">
        <f>#REF!</f>
        <v>#REF!</v>
      </c>
      <c r="F51" s="82" t="e">
        <f>#REF!</f>
        <v>#REF!</v>
      </c>
      <c r="G51" s="82">
        <v>172588000</v>
      </c>
      <c r="H51" s="82" t="e">
        <f>#REF!</f>
        <v>#REF!</v>
      </c>
      <c r="I51" s="82" t="e">
        <f>#REF!</f>
        <v>#REF!</v>
      </c>
      <c r="J51" s="82" t="e">
        <f>#REF!</f>
        <v>#REF!</v>
      </c>
      <c r="K51" s="90">
        <v>314327966</v>
      </c>
      <c r="L51" s="82">
        <f>'291'!M51</f>
        <v>633258024</v>
      </c>
      <c r="M51" s="82">
        <f>'291'!N51</f>
        <v>658387424</v>
      </c>
      <c r="N51" s="82">
        <f>'291'!N51</f>
        <v>658387424</v>
      </c>
      <c r="O51" s="82">
        <f>'291'!O51</f>
        <v>1432835104</v>
      </c>
      <c r="P51" s="82">
        <f>'291'!P51</f>
        <v>1581817024</v>
      </c>
      <c r="Q51" s="82">
        <f>'291'!Q51</f>
        <v>4151099344</v>
      </c>
      <c r="R51" s="82">
        <f>'291'!R51</f>
        <v>3501955760</v>
      </c>
      <c r="S51" s="272">
        <f t="shared" si="0"/>
        <v>-649143584</v>
      </c>
      <c r="Z51" s="783">
        <f>Z50-Z49</f>
        <v>0.409912109375</v>
      </c>
    </row>
    <row r="52" spans="1:46" ht="21" customHeight="1">
      <c r="A52" s="98">
        <v>50</v>
      </c>
      <c r="B52" s="93">
        <v>301</v>
      </c>
      <c r="C52" s="82" t="s">
        <v>1122</v>
      </c>
      <c r="D52" s="94" t="e">
        <f>SUM(#REF!)</f>
        <v>#REF!</v>
      </c>
      <c r="E52" s="94" t="e">
        <f>SUM(#REF!)</f>
        <v>#REF!</v>
      </c>
      <c r="F52" s="94" t="e">
        <f>SUM(#REF!)</f>
        <v>#REF!</v>
      </c>
      <c r="G52" s="95">
        <v>249368000</v>
      </c>
      <c r="H52" s="95" t="e">
        <f>#REF!</f>
        <v>#REF!</v>
      </c>
      <c r="I52" s="95" t="e">
        <f>#REF!</f>
        <v>#REF!</v>
      </c>
      <c r="J52" s="95" t="e">
        <f>#REF!</f>
        <v>#REF!</v>
      </c>
      <c r="K52" s="90">
        <f>651231992+460991291</f>
        <v>1112223283</v>
      </c>
      <c r="L52" s="95">
        <f>'301'!K51</f>
        <v>1753203778.0999999</v>
      </c>
      <c r="M52" s="82">
        <f>'301'!L51</f>
        <v>2171533218.0999999</v>
      </c>
      <c r="N52" s="82">
        <f>'301'!L51</f>
        <v>2171533218.0999999</v>
      </c>
      <c r="O52" s="82">
        <f>'301'!M51</f>
        <v>3318687778.0999999</v>
      </c>
      <c r="P52" s="82">
        <f>'301'!N51</f>
        <v>4103474978.0999999</v>
      </c>
      <c r="Q52" s="82">
        <f>'301'!O51</f>
        <v>4717575618.1000004</v>
      </c>
      <c r="R52" s="82">
        <f>'301'!P51</f>
        <v>6514883407.6999998</v>
      </c>
      <c r="S52" s="272">
        <f t="shared" si="0"/>
        <v>1797307789.5999994</v>
      </c>
    </row>
    <row r="53" spans="1:46" ht="21" customHeight="1">
      <c r="A53" s="98">
        <v>51</v>
      </c>
      <c r="B53" s="89">
        <v>311</v>
      </c>
      <c r="C53" s="82" t="s">
        <v>1421</v>
      </c>
      <c r="D53" s="82" t="e">
        <f>#REF!</f>
        <v>#REF!</v>
      </c>
      <c r="E53" s="82" t="e">
        <f>#REF!</f>
        <v>#REF!</v>
      </c>
      <c r="F53" s="82" t="e">
        <f>#REF!</f>
        <v>#REF!</v>
      </c>
      <c r="G53" s="82">
        <v>395652000</v>
      </c>
      <c r="H53" s="82" t="e">
        <f>#REF!</f>
        <v>#REF!</v>
      </c>
      <c r="I53" s="82" t="e">
        <f>#REF!</f>
        <v>#REF!</v>
      </c>
      <c r="J53" s="82" t="e">
        <f>#REF!</f>
        <v>#REF!</v>
      </c>
      <c r="K53" s="90">
        <f>'[1]31'!L43</f>
        <v>1641919631</v>
      </c>
      <c r="L53" s="95">
        <f>'311'!M49</f>
        <v>2249155680</v>
      </c>
      <c r="M53" s="82">
        <f>'311'!N49</f>
        <v>2715499920</v>
      </c>
      <c r="N53" s="82">
        <f>'311'!N49</f>
        <v>2715499920</v>
      </c>
      <c r="O53" s="82">
        <f>'311'!O49</f>
        <v>5864483090</v>
      </c>
      <c r="P53" s="82">
        <f>'311'!P49</f>
        <v>5640725650</v>
      </c>
      <c r="Q53" s="82">
        <f>'311'!Q49</f>
        <v>6936538450</v>
      </c>
      <c r="R53" s="82">
        <f>'311'!R49</f>
        <v>9322482448</v>
      </c>
      <c r="S53" s="272">
        <f t="shared" si="0"/>
        <v>2385943998</v>
      </c>
    </row>
    <row r="54" spans="1:46" ht="21" customHeight="1">
      <c r="A54" s="98">
        <v>52</v>
      </c>
      <c r="B54" s="89">
        <v>321</v>
      </c>
      <c r="C54" s="82" t="s">
        <v>77</v>
      </c>
      <c r="D54" s="82">
        <v>0</v>
      </c>
      <c r="E54" s="82" t="e">
        <f>'321'!#REF!</f>
        <v>#REF!</v>
      </c>
      <c r="F54" s="82" t="e">
        <f>'321'!#REF!</f>
        <v>#REF!</v>
      </c>
      <c r="G54" s="82">
        <v>4752469000</v>
      </c>
      <c r="H54" s="82" t="e">
        <f>'321'!#REF!</f>
        <v>#REF!</v>
      </c>
      <c r="I54" s="82" t="e">
        <f>'321'!#REF!</f>
        <v>#REF!</v>
      </c>
      <c r="J54" s="82" t="e">
        <f>'321'!#REF!</f>
        <v>#REF!</v>
      </c>
      <c r="K54" s="90">
        <v>16224441793</v>
      </c>
      <c r="L54" s="82" t="e">
        <f>'321'!N45</f>
        <v>#REF!</v>
      </c>
      <c r="M54" s="82" t="e">
        <f>'321'!O45</f>
        <v>#REF!</v>
      </c>
      <c r="N54" s="82" t="e">
        <f>'321'!O45</f>
        <v>#REF!</v>
      </c>
      <c r="O54" s="82">
        <f>'321'!P45</f>
        <v>2106014684</v>
      </c>
      <c r="P54" s="82">
        <f>'321'!Q45</f>
        <v>38226014684</v>
      </c>
      <c r="Q54" s="82">
        <f>'321'!R45</f>
        <v>4984815654</v>
      </c>
      <c r="R54" s="82">
        <f>'321'!S45</f>
        <v>5034716020</v>
      </c>
      <c r="S54" s="272">
        <f t="shared" si="0"/>
        <v>49900366</v>
      </c>
      <c r="Y54" s="255"/>
    </row>
    <row r="55" spans="1:46" ht="21" customHeight="1">
      <c r="A55" s="98">
        <v>53</v>
      </c>
      <c r="B55" s="96">
        <v>331</v>
      </c>
      <c r="C55" s="82" t="s">
        <v>79</v>
      </c>
      <c r="D55" s="82">
        <f>'331'!D76</f>
        <v>0</v>
      </c>
      <c r="E55" s="82">
        <f>'331'!E76</f>
        <v>0</v>
      </c>
      <c r="F55" s="82">
        <f>'331'!F76</f>
        <v>0</v>
      </c>
      <c r="G55" s="82">
        <v>116932000</v>
      </c>
      <c r="H55" s="90">
        <f>'331'!H76</f>
        <v>0</v>
      </c>
      <c r="I55" s="90">
        <f>'331'!I76</f>
        <v>0</v>
      </c>
      <c r="J55" s="90">
        <f>'331'!J76</f>
        <v>0</v>
      </c>
      <c r="K55" s="90">
        <v>426660816</v>
      </c>
      <c r="L55" s="90">
        <f>'331'!M42</f>
        <v>732938431.20000005</v>
      </c>
      <c r="M55" s="82">
        <f>'331'!N42</f>
        <v>890042591.20000005</v>
      </c>
      <c r="N55" s="82">
        <f>'331'!N42</f>
        <v>890042591.20000005</v>
      </c>
      <c r="O55" s="82">
        <f>'331'!O42</f>
        <v>1228439711.2</v>
      </c>
      <c r="P55" s="82">
        <f>'331'!P42</f>
        <v>1375339871.2</v>
      </c>
      <c r="Q55" s="82">
        <f>'331'!Q42</f>
        <v>2520190271.1999998</v>
      </c>
      <c r="R55" s="82">
        <f>'331'!R42</f>
        <v>2006932832</v>
      </c>
      <c r="S55" s="272">
        <f t="shared" si="0"/>
        <v>-513257439.19999981</v>
      </c>
      <c r="X55" s="164" t="s">
        <v>4</v>
      </c>
      <c r="Y55" s="255"/>
    </row>
    <row r="56" spans="1:46" ht="21" customHeight="1">
      <c r="A56" s="98">
        <v>54</v>
      </c>
      <c r="B56" s="96">
        <v>341</v>
      </c>
      <c r="C56" s="82" t="s">
        <v>1123</v>
      </c>
      <c r="D56" s="82"/>
      <c r="E56" s="82"/>
      <c r="F56" s="82">
        <v>0</v>
      </c>
      <c r="G56" s="82">
        <v>186780000</v>
      </c>
      <c r="H56" s="90" t="e">
        <f>'341'!#REF!</f>
        <v>#REF!</v>
      </c>
      <c r="I56" s="90" t="e">
        <f>'341'!#REF!</f>
        <v>#REF!</v>
      </c>
      <c r="J56" s="90" t="e">
        <f>'341'!#REF!</f>
        <v>#REF!</v>
      </c>
      <c r="K56" s="90">
        <v>501603272</v>
      </c>
      <c r="L56" s="90" t="e">
        <f>'341'!N35</f>
        <v>#REF!</v>
      </c>
      <c r="M56" s="82" t="e">
        <f>'341'!O35</f>
        <v>#REF!</v>
      </c>
      <c r="N56" s="82" t="e">
        <f>'341'!O35</f>
        <v>#REF!</v>
      </c>
      <c r="O56" s="82">
        <f>'341'!P35</f>
        <v>1144049672</v>
      </c>
      <c r="P56" s="82">
        <f>'341'!Q35</f>
        <v>1173355272</v>
      </c>
      <c r="Q56" s="82">
        <f>'341'!R35</f>
        <v>1314312072</v>
      </c>
      <c r="R56" s="82">
        <f>'341'!S35</f>
        <v>1583336504</v>
      </c>
      <c r="S56" s="272">
        <f t="shared" si="0"/>
        <v>269024432</v>
      </c>
      <c r="Y56" s="255"/>
    </row>
    <row r="57" spans="1:46" ht="21" customHeight="1">
      <c r="A57" s="98">
        <v>55</v>
      </c>
      <c r="B57" s="99">
        <v>381</v>
      </c>
      <c r="C57" s="100" t="s">
        <v>1422</v>
      </c>
      <c r="D57" s="100"/>
      <c r="E57" s="100"/>
      <c r="F57" s="100"/>
      <c r="G57" s="100"/>
      <c r="H57" s="100"/>
      <c r="I57" s="100"/>
      <c r="J57" s="100"/>
      <c r="K57" s="97">
        <v>0</v>
      </c>
      <c r="L57" s="101">
        <f>'381'!D51</f>
        <v>1091312000</v>
      </c>
      <c r="M57" s="82">
        <f>'381'!E51</f>
        <v>1045223200</v>
      </c>
      <c r="N57" s="82">
        <f>'381'!E51</f>
        <v>1045223200</v>
      </c>
      <c r="O57" s="82">
        <f>'381'!F51</f>
        <v>1642392000</v>
      </c>
      <c r="P57" s="82">
        <f>'381'!G51</f>
        <v>1813610240</v>
      </c>
      <c r="Q57" s="82">
        <f>'381'!H51</f>
        <v>3417823680</v>
      </c>
      <c r="R57" s="82">
        <f>'381'!I51</f>
        <v>3914365632</v>
      </c>
      <c r="S57" s="272">
        <f t="shared" si="0"/>
        <v>496541952</v>
      </c>
    </row>
    <row r="58" spans="1:46" ht="21" customHeight="1">
      <c r="A58" s="98">
        <v>56</v>
      </c>
      <c r="B58" s="99">
        <v>391</v>
      </c>
      <c r="C58" s="100" t="s">
        <v>1124</v>
      </c>
      <c r="D58" s="100"/>
      <c r="E58" s="100"/>
      <c r="F58" s="100"/>
      <c r="G58" s="100"/>
      <c r="H58" s="100"/>
      <c r="I58" s="100"/>
      <c r="J58" s="100"/>
      <c r="K58" s="97">
        <v>0</v>
      </c>
      <c r="L58" s="101">
        <f>'391'!K48</f>
        <v>1026428400</v>
      </c>
      <c r="M58" s="82">
        <f>'391'!L48</f>
        <v>1289334400</v>
      </c>
      <c r="N58" s="82">
        <f>'391'!L48</f>
        <v>1289334400</v>
      </c>
      <c r="O58" s="82">
        <f>'391'!M48</f>
        <v>1900668800</v>
      </c>
      <c r="P58" s="82">
        <f>'391'!N48</f>
        <v>2007624000</v>
      </c>
      <c r="Q58" s="82">
        <f>'391'!O48</f>
        <v>3416624000</v>
      </c>
      <c r="R58" s="82">
        <f>'391'!P48</f>
        <v>3221084320</v>
      </c>
      <c r="S58" s="272">
        <f t="shared" si="0"/>
        <v>-195539680</v>
      </c>
    </row>
    <row r="59" spans="1:46" ht="21" customHeight="1">
      <c r="A59" s="98">
        <v>57</v>
      </c>
      <c r="B59" s="99">
        <v>401</v>
      </c>
      <c r="C59" s="100" t="s">
        <v>1125</v>
      </c>
      <c r="D59" s="100"/>
      <c r="E59" s="100"/>
      <c r="F59" s="100"/>
      <c r="G59" s="100"/>
      <c r="H59" s="100"/>
      <c r="I59" s="100"/>
      <c r="J59" s="100"/>
      <c r="K59" s="97"/>
      <c r="L59" s="102" t="e">
        <f>'401'!M58</f>
        <v>#REF!</v>
      </c>
      <c r="M59" s="103" t="e">
        <f>'401'!N58</f>
        <v>#REF!</v>
      </c>
      <c r="N59" s="103" t="e">
        <f>'401'!N58</f>
        <v>#REF!</v>
      </c>
      <c r="O59" s="82" t="e">
        <f>'401'!O58</f>
        <v>#REF!</v>
      </c>
      <c r="P59" s="82">
        <f>'401'!P58</f>
        <v>2899387176</v>
      </c>
      <c r="Q59" s="82">
        <f>'401'!Q58</f>
        <v>4998297020</v>
      </c>
      <c r="R59" s="82">
        <f>'401'!R58</f>
        <v>6996892892</v>
      </c>
      <c r="S59" s="272">
        <f t="shared" si="0"/>
        <v>1998595872</v>
      </c>
    </row>
    <row r="60" spans="1:46" ht="21" customHeight="1">
      <c r="A60" s="98">
        <v>58</v>
      </c>
      <c r="B60" s="99">
        <v>411</v>
      </c>
      <c r="C60" s="100" t="s">
        <v>1126</v>
      </c>
      <c r="D60" s="100"/>
      <c r="E60" s="100"/>
      <c r="F60" s="100"/>
      <c r="G60" s="100"/>
      <c r="H60" s="100"/>
      <c r="I60" s="100"/>
      <c r="J60" s="100"/>
      <c r="K60" s="97"/>
      <c r="L60" s="102">
        <f>'411'!C55</f>
        <v>2168529407</v>
      </c>
      <c r="M60" s="103">
        <f>'411'!D55</f>
        <v>2810371380</v>
      </c>
      <c r="N60" s="103">
        <f>'411'!D55</f>
        <v>2810371380</v>
      </c>
      <c r="O60" s="82">
        <f>'411'!E55</f>
        <v>5214515860</v>
      </c>
      <c r="P60" s="82">
        <f>'411'!F55</f>
        <v>5234219220</v>
      </c>
      <c r="Q60" s="82">
        <f>'411'!G55</f>
        <v>6457541460</v>
      </c>
      <c r="R60" s="82">
        <f>'411'!H55</f>
        <v>13662898724</v>
      </c>
      <c r="S60" s="272">
        <f t="shared" si="0"/>
        <v>7205357264</v>
      </c>
      <c r="Z60" s="783"/>
    </row>
    <row r="61" spans="1:46" ht="21" customHeight="1">
      <c r="A61" s="98">
        <v>59</v>
      </c>
      <c r="B61" s="99">
        <v>421</v>
      </c>
      <c r="C61" s="100" t="s">
        <v>1127</v>
      </c>
      <c r="D61" s="100"/>
      <c r="E61" s="100"/>
      <c r="F61" s="100"/>
      <c r="G61" s="100"/>
      <c r="H61" s="100"/>
      <c r="I61" s="100"/>
      <c r="J61" s="100"/>
      <c r="K61" s="97"/>
      <c r="L61" s="102">
        <f>'421'!C44</f>
        <v>0</v>
      </c>
      <c r="M61" s="103">
        <f>'421'!D44</f>
        <v>1960125000</v>
      </c>
      <c r="N61" s="103">
        <f>'421'!D44</f>
        <v>1960125000</v>
      </c>
      <c r="O61" s="82">
        <f>'421'!E44</f>
        <v>2230125000</v>
      </c>
      <c r="P61" s="82">
        <f>'421'!F44</f>
        <v>2270125000</v>
      </c>
      <c r="Q61" s="82">
        <f>'421'!G44</f>
        <v>2570125000</v>
      </c>
      <c r="R61" s="82">
        <f>'421'!H44</f>
        <v>2530125000</v>
      </c>
      <c r="S61" s="272">
        <f t="shared" si="0"/>
        <v>-40000000</v>
      </c>
      <c r="Z61" s="783"/>
    </row>
    <row r="62" spans="1:46" ht="21" customHeight="1">
      <c r="A62" s="98">
        <v>60</v>
      </c>
      <c r="B62" s="99">
        <v>431</v>
      </c>
      <c r="C62" s="100" t="s">
        <v>1128</v>
      </c>
      <c r="D62" s="100"/>
      <c r="E62" s="100"/>
      <c r="F62" s="100"/>
      <c r="G62" s="100"/>
      <c r="H62" s="100"/>
      <c r="I62" s="100"/>
      <c r="J62" s="100"/>
      <c r="K62" s="97"/>
      <c r="L62" s="102"/>
      <c r="M62" s="103">
        <v>0</v>
      </c>
      <c r="N62" s="103">
        <f>'431'!O50</f>
        <v>1419670400</v>
      </c>
      <c r="O62" s="82">
        <f>'431'!P50</f>
        <v>3140570080</v>
      </c>
      <c r="P62" s="82">
        <f>'431'!R50</f>
        <v>3392610240</v>
      </c>
      <c r="Q62" s="82">
        <f>'431'!S50</f>
        <v>4569451200</v>
      </c>
      <c r="R62" s="82">
        <f>'431'!T50</f>
        <v>6502976544</v>
      </c>
      <c r="S62" s="272">
        <f t="shared" si="0"/>
        <v>1933525344</v>
      </c>
      <c r="Z62" s="847"/>
    </row>
    <row r="63" spans="1:46" ht="21" customHeight="1">
      <c r="A63" s="98">
        <v>61</v>
      </c>
      <c r="B63" s="99">
        <v>441</v>
      </c>
      <c r="C63" s="100" t="s">
        <v>970</v>
      </c>
      <c r="D63" s="100"/>
      <c r="E63" s="100"/>
      <c r="F63" s="100"/>
      <c r="G63" s="100"/>
      <c r="H63" s="100"/>
      <c r="I63" s="100"/>
      <c r="J63" s="100"/>
      <c r="K63" s="97"/>
      <c r="L63" s="102"/>
      <c r="M63" s="103"/>
      <c r="N63" s="268">
        <f>'441'!C55</f>
        <v>0</v>
      </c>
      <c r="O63" s="82">
        <f>'441'!D55</f>
        <v>3112288935.5</v>
      </c>
      <c r="P63" s="82">
        <f>'441'!E55</f>
        <v>4740375335.5</v>
      </c>
      <c r="Q63" s="82">
        <f>'441'!F55</f>
        <v>14160685095.5</v>
      </c>
      <c r="R63" s="82">
        <f>'441'!G55</f>
        <v>11882415623.5</v>
      </c>
      <c r="S63" s="272">
        <f t="shared" si="0"/>
        <v>-2278269472</v>
      </c>
      <c r="AC63" s="782"/>
      <c r="AD63" s="782"/>
      <c r="AE63" s="782"/>
      <c r="AF63" s="782"/>
      <c r="AG63" s="782"/>
      <c r="AH63" s="782"/>
      <c r="AI63" s="782"/>
      <c r="AJ63" s="782"/>
      <c r="AK63" s="782"/>
      <c r="AL63" s="782"/>
      <c r="AM63" s="782"/>
      <c r="AN63" s="782"/>
      <c r="AO63" s="782"/>
      <c r="AP63" s="782"/>
      <c r="AQ63" s="782"/>
      <c r="AR63" s="782"/>
      <c r="AS63" s="782"/>
      <c r="AT63" s="782"/>
    </row>
    <row r="64" spans="1:46" ht="21" customHeight="1">
      <c r="A64" s="98">
        <v>62</v>
      </c>
      <c r="B64" s="99">
        <v>451</v>
      </c>
      <c r="C64" s="100" t="s">
        <v>1397</v>
      </c>
      <c r="D64" s="100"/>
      <c r="E64" s="100"/>
      <c r="F64" s="100"/>
      <c r="G64" s="100"/>
      <c r="H64" s="100"/>
      <c r="I64" s="100"/>
      <c r="J64" s="100"/>
      <c r="K64" s="97"/>
      <c r="L64" s="102"/>
      <c r="M64" s="103"/>
      <c r="N64" s="268"/>
      <c r="O64" s="82"/>
      <c r="P64" s="82"/>
      <c r="Q64" s="82">
        <v>0</v>
      </c>
      <c r="R64" s="82">
        <f>'451'!I48</f>
        <v>3611591680</v>
      </c>
      <c r="S64" s="272">
        <f t="shared" si="0"/>
        <v>3611591680</v>
      </c>
      <c r="AC64" s="782"/>
      <c r="AD64" s="782"/>
      <c r="AE64" s="782"/>
      <c r="AF64" s="782"/>
      <c r="AG64" s="782"/>
      <c r="AH64" s="782"/>
      <c r="AI64" s="782"/>
      <c r="AJ64" s="782"/>
      <c r="AK64" s="782"/>
      <c r="AL64" s="782"/>
      <c r="AM64" s="782"/>
      <c r="AN64" s="782"/>
      <c r="AO64" s="782"/>
      <c r="AP64" s="782"/>
      <c r="AQ64" s="782"/>
      <c r="AR64" s="782"/>
      <c r="AS64" s="782"/>
      <c r="AT64" s="782"/>
    </row>
    <row r="65" spans="1:46" ht="21" customHeight="1" thickBot="1">
      <c r="A65" s="397"/>
      <c r="B65" s="104"/>
      <c r="C65" s="105" t="s">
        <v>317</v>
      </c>
      <c r="D65" s="105"/>
      <c r="E65" s="105"/>
      <c r="F65" s="105"/>
      <c r="G65" s="105"/>
      <c r="H65" s="105"/>
      <c r="I65" s="105"/>
      <c r="J65" s="105"/>
      <c r="K65" s="106">
        <f>SUM(K2:K58)</f>
        <v>307007240338</v>
      </c>
      <c r="L65" s="106" t="e">
        <f>SUM(L2:L60)</f>
        <v>#REF!</v>
      </c>
      <c r="M65" s="270" t="e">
        <f>SUM(M2:M62)</f>
        <v>#REF!</v>
      </c>
      <c r="N65" s="268" t="e">
        <f>SUM(N2:N63)</f>
        <v>#REF!</v>
      </c>
      <c r="O65" s="268" t="e">
        <f>SUM(O2:O63)</f>
        <v>#REF!</v>
      </c>
      <c r="P65" s="268" t="e">
        <f>SUM(P2:P63)</f>
        <v>#REF!</v>
      </c>
      <c r="Q65" s="268">
        <f>SUM(Q2:Q63)</f>
        <v>1218000000000.1101</v>
      </c>
      <c r="R65" s="268">
        <f>SUM(R2:R64)</f>
        <v>1553204022280.4099</v>
      </c>
      <c r="S65" s="839">
        <f t="shared" si="0"/>
        <v>335204022280.2998</v>
      </c>
      <c r="U65" s="255"/>
      <c r="V65" s="783"/>
      <c r="AC65" s="781" t="s">
        <v>482</v>
      </c>
      <c r="AD65" s="781"/>
      <c r="AE65" s="781"/>
      <c r="AF65" s="781"/>
      <c r="AG65" s="781"/>
      <c r="AH65" s="781"/>
      <c r="AI65" s="781"/>
      <c r="AJ65" s="781"/>
      <c r="AK65" s="781"/>
      <c r="AL65" s="781"/>
      <c r="AM65" s="781"/>
      <c r="AN65" s="781"/>
      <c r="AO65" s="781"/>
      <c r="AP65" s="781"/>
      <c r="AQ65" s="781"/>
      <c r="AR65" s="781"/>
      <c r="AS65" s="781"/>
      <c r="AT65" s="781"/>
    </row>
    <row r="66" spans="1:46" ht="21" customHeight="1">
      <c r="O66" s="271" t="s">
        <v>481</v>
      </c>
      <c r="P66" s="271"/>
      <c r="Q66" s="271"/>
      <c r="R66" s="271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</row>
    <row r="67" spans="1:46" ht="21" customHeight="1">
      <c r="S67" s="255"/>
      <c r="U67" s="255"/>
    </row>
  </sheetData>
  <pageMargins left="0.7" right="0.7" top="0.75" bottom="0.75" header="0.3" footer="0.3"/>
  <pageSetup scale="50" orientation="portrait" r:id="rId1"/>
  <headerFooter>
    <oddHeader>&amp;C&amp;"Agency FB,Bold"&amp;36Soo koobida Guud ee Miisaaniyadda 2017.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T35"/>
  <sheetViews>
    <sheetView view="pageBreakPreview" topLeftCell="A25" zoomScale="60" workbookViewId="0">
      <selection activeCell="S35" sqref="S35"/>
    </sheetView>
  </sheetViews>
  <sheetFormatPr defaultRowHeight="36" customHeight="1"/>
  <cols>
    <col min="1" max="1" width="18.1640625" style="660" bestFit="1" customWidth="1"/>
    <col min="2" max="2" width="82.83203125" style="399" customWidth="1"/>
    <col min="3" max="3" width="9" style="399" hidden="1" customWidth="1"/>
    <col min="4" max="4" width="0.83203125" style="399" hidden="1" customWidth="1"/>
    <col min="5" max="5" width="0.5" style="399" hidden="1" customWidth="1"/>
    <col min="6" max="6" width="9.33203125" style="399" hidden="1" customWidth="1"/>
    <col min="7" max="7" width="14.6640625" style="399" hidden="1" customWidth="1"/>
    <col min="8" max="9" width="16.5" style="399" hidden="1" customWidth="1"/>
    <col min="10" max="10" width="0.1640625" style="399" hidden="1" customWidth="1"/>
    <col min="11" max="11" width="16.5" style="399" hidden="1" customWidth="1"/>
    <col min="12" max="12" width="14.83203125" style="399" hidden="1" customWidth="1"/>
    <col min="13" max="13" width="0.1640625" style="399" hidden="1" customWidth="1"/>
    <col min="14" max="14" width="19.33203125" style="399" hidden="1" customWidth="1"/>
    <col min="15" max="15" width="24.5" style="561" hidden="1" customWidth="1"/>
    <col min="16" max="17" width="27.6640625" style="561" hidden="1" customWidth="1"/>
    <col min="18" max="20" width="27.6640625" style="561" customWidth="1"/>
    <col min="21" max="16384" width="9.33203125" style="399"/>
  </cols>
  <sheetData>
    <row r="1" spans="1:20" ht="36" customHeight="1">
      <c r="A1" s="608" t="s">
        <v>40</v>
      </c>
      <c r="B1" s="545" t="s">
        <v>1024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280"/>
      <c r="P1" s="280"/>
      <c r="Q1" s="280"/>
      <c r="R1" s="280"/>
      <c r="S1" s="280"/>
      <c r="T1" s="280"/>
    </row>
    <row r="2" spans="1:20" ht="36" customHeight="1">
      <c r="A2" s="608">
        <v>2110</v>
      </c>
      <c r="B2" s="478" t="s">
        <v>27</v>
      </c>
      <c r="C2" s="478" t="s">
        <v>38</v>
      </c>
      <c r="D2" s="478" t="s">
        <v>2</v>
      </c>
      <c r="E2" s="478" t="s">
        <v>43</v>
      </c>
      <c r="F2" s="482" t="s">
        <v>46</v>
      </c>
      <c r="G2" s="482" t="s">
        <v>46</v>
      </c>
      <c r="H2" s="482" t="s">
        <v>55</v>
      </c>
      <c r="I2" s="482" t="s">
        <v>62</v>
      </c>
      <c r="J2" s="482" t="s">
        <v>103</v>
      </c>
      <c r="K2" s="482" t="s">
        <v>107</v>
      </c>
      <c r="L2" s="482" t="s">
        <v>116</v>
      </c>
      <c r="M2" s="482" t="s">
        <v>153</v>
      </c>
      <c r="N2" s="482" t="s">
        <v>274</v>
      </c>
      <c r="O2" s="286" t="s">
        <v>814</v>
      </c>
      <c r="P2" s="286" t="s">
        <v>874</v>
      </c>
      <c r="Q2" s="286" t="s">
        <v>972</v>
      </c>
      <c r="R2" s="286" t="s">
        <v>1159</v>
      </c>
      <c r="S2" s="286" t="s">
        <v>1319</v>
      </c>
      <c r="T2" s="286" t="s">
        <v>56</v>
      </c>
    </row>
    <row r="3" spans="1:20" ht="36" customHeight="1">
      <c r="A3" s="392">
        <v>21101</v>
      </c>
      <c r="B3" s="292" t="s">
        <v>28</v>
      </c>
      <c r="C3" s="292"/>
      <c r="D3" s="292"/>
      <c r="E3" s="292"/>
      <c r="F3" s="292"/>
      <c r="G3" s="292" t="s">
        <v>4</v>
      </c>
      <c r="H3" s="292"/>
      <c r="I3" s="292"/>
      <c r="J3" s="292"/>
      <c r="K3" s="292"/>
      <c r="L3" s="658">
        <v>79965600</v>
      </c>
      <c r="M3" s="582">
        <v>115965600</v>
      </c>
      <c r="N3" s="582">
        <f>shaqaalaha2011!H48+36000000+20976000</f>
        <v>153040800</v>
      </c>
      <c r="O3" s="249">
        <v>97938800</v>
      </c>
      <c r="P3" s="249">
        <v>242648640</v>
      </c>
      <c r="Q3" s="249">
        <v>246954240</v>
      </c>
      <c r="R3" s="249">
        <v>273911040</v>
      </c>
      <c r="S3" s="249">
        <v>420612192</v>
      </c>
      <c r="T3" s="249">
        <f>S3-R3</f>
        <v>146701152</v>
      </c>
    </row>
    <row r="4" spans="1:20" ht="36" customHeight="1">
      <c r="A4" s="392">
        <v>21102</v>
      </c>
      <c r="B4" s="292" t="s">
        <v>610</v>
      </c>
      <c r="C4" s="246">
        <v>14053000</v>
      </c>
      <c r="D4" s="246">
        <v>18828000</v>
      </c>
      <c r="E4" s="246">
        <v>23040000</v>
      </c>
      <c r="F4" s="246">
        <v>22740000</v>
      </c>
      <c r="G4" s="246">
        <v>0</v>
      </c>
      <c r="H4" s="246">
        <f>36948000+3192000</f>
        <v>40140000</v>
      </c>
      <c r="I4" s="246">
        <v>49404000</v>
      </c>
      <c r="J4" s="246">
        <v>79965600</v>
      </c>
      <c r="K4" s="246">
        <v>79965600</v>
      </c>
      <c r="L4" s="658">
        <v>6780000</v>
      </c>
      <c r="M4" s="295">
        <v>6780000</v>
      </c>
      <c r="N4" s="295">
        <v>13560000</v>
      </c>
      <c r="O4" s="249">
        <v>67560000</v>
      </c>
      <c r="P4" s="249">
        <v>185584800</v>
      </c>
      <c r="Q4" s="249">
        <v>185584800</v>
      </c>
      <c r="R4" s="249">
        <v>185584800</v>
      </c>
      <c r="S4" s="848">
        <v>185584800</v>
      </c>
      <c r="T4" s="249">
        <f t="shared" ref="T4:T35" si="0">S4-R4</f>
        <v>0</v>
      </c>
    </row>
    <row r="5" spans="1:20" ht="36" customHeight="1">
      <c r="A5" s="392">
        <v>21103</v>
      </c>
      <c r="B5" s="292" t="s">
        <v>114</v>
      </c>
      <c r="C5" s="246">
        <v>363600</v>
      </c>
      <c r="D5" s="246">
        <v>0</v>
      </c>
      <c r="E5" s="246">
        <v>0</v>
      </c>
      <c r="F5" s="246">
        <v>0</v>
      </c>
      <c r="G5" s="246">
        <v>0</v>
      </c>
      <c r="H5" s="246">
        <v>6780000</v>
      </c>
      <c r="I5" s="246">
        <v>6780000</v>
      </c>
      <c r="J5" s="246">
        <v>6780000</v>
      </c>
      <c r="K5" s="246">
        <v>6780000</v>
      </c>
      <c r="L5" s="658">
        <v>28800000</v>
      </c>
      <c r="M5" s="295">
        <f>26400000+2400000</f>
        <v>28800000</v>
      </c>
      <c r="N5" s="295">
        <f>26400000+2400000</f>
        <v>28800000</v>
      </c>
      <c r="O5" s="249">
        <v>68400000</v>
      </c>
      <c r="P5" s="249">
        <v>126000000</v>
      </c>
      <c r="Q5" s="249">
        <v>126000000</v>
      </c>
      <c r="R5" s="249">
        <v>126000000</v>
      </c>
      <c r="S5" s="848">
        <v>126000000</v>
      </c>
      <c r="T5" s="249">
        <f t="shared" si="0"/>
        <v>0</v>
      </c>
    </row>
    <row r="6" spans="1:20" ht="36" customHeight="1">
      <c r="A6" s="392">
        <v>21105</v>
      </c>
      <c r="B6" s="292" t="s">
        <v>466</v>
      </c>
      <c r="C6" s="246">
        <v>0</v>
      </c>
      <c r="D6" s="246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302">
        <v>0</v>
      </c>
      <c r="M6" s="249">
        <v>0</v>
      </c>
      <c r="N6" s="249">
        <v>24000000</v>
      </c>
      <c r="O6" s="249">
        <f>N6</f>
        <v>24000000</v>
      </c>
      <c r="P6" s="249">
        <f>O6</f>
        <v>24000000</v>
      </c>
      <c r="Q6" s="249">
        <f>P6</f>
        <v>24000000</v>
      </c>
      <c r="R6" s="249">
        <f>Q6</f>
        <v>24000000</v>
      </c>
      <c r="S6" s="848">
        <f>R6</f>
        <v>24000000</v>
      </c>
      <c r="T6" s="249">
        <f t="shared" si="0"/>
        <v>0</v>
      </c>
    </row>
    <row r="7" spans="1:20" ht="36" customHeight="1">
      <c r="A7" s="392"/>
      <c r="B7" s="280" t="s">
        <v>92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477">
        <f t="shared" ref="L7:P7" si="1">SUM(L3:L6)</f>
        <v>115545600</v>
      </c>
      <c r="M7" s="285">
        <f t="shared" si="1"/>
        <v>151545600</v>
      </c>
      <c r="N7" s="285">
        <f t="shared" si="1"/>
        <v>219400800</v>
      </c>
      <c r="O7" s="285">
        <f t="shared" si="1"/>
        <v>257898800</v>
      </c>
      <c r="P7" s="285">
        <f t="shared" si="1"/>
        <v>578233440</v>
      </c>
      <c r="Q7" s="285">
        <f>SUM(Q3:Q6)</f>
        <v>582539040</v>
      </c>
      <c r="R7" s="285">
        <f>SUM(R3:R6)</f>
        <v>609495840</v>
      </c>
      <c r="S7" s="849">
        <f>SUM(S3:S6)</f>
        <v>756196992</v>
      </c>
      <c r="T7" s="285">
        <f t="shared" si="0"/>
        <v>146701152</v>
      </c>
    </row>
    <row r="8" spans="1:20" s="492" customFormat="1" ht="36" customHeight="1">
      <c r="A8" s="476">
        <v>2210</v>
      </c>
      <c r="B8" s="280" t="s">
        <v>31</v>
      </c>
      <c r="C8" s="246">
        <f t="shared" ref="C8:K8" si="2">SUM(C4:C7)</f>
        <v>14416600</v>
      </c>
      <c r="D8" s="246">
        <f t="shared" si="2"/>
        <v>18828000</v>
      </c>
      <c r="E8" s="246">
        <f t="shared" si="2"/>
        <v>23040000</v>
      </c>
      <c r="F8" s="246">
        <f t="shared" si="2"/>
        <v>22740000</v>
      </c>
      <c r="G8" s="246">
        <f t="shared" si="2"/>
        <v>0</v>
      </c>
      <c r="H8" s="246">
        <f t="shared" si="2"/>
        <v>46920000</v>
      </c>
      <c r="I8" s="280">
        <f t="shared" si="2"/>
        <v>56184000</v>
      </c>
      <c r="J8" s="280">
        <f t="shared" si="2"/>
        <v>86745600</v>
      </c>
      <c r="K8" s="280">
        <f t="shared" si="2"/>
        <v>86745600</v>
      </c>
      <c r="L8" s="303"/>
      <c r="M8" s="285"/>
      <c r="N8" s="285"/>
      <c r="O8" s="285"/>
      <c r="P8" s="285"/>
      <c r="Q8" s="285"/>
      <c r="R8" s="285"/>
      <c r="S8" s="849"/>
      <c r="T8" s="249">
        <f t="shared" si="0"/>
        <v>0</v>
      </c>
    </row>
    <row r="9" spans="1:20" ht="36" customHeight="1">
      <c r="A9" s="392">
        <v>22101</v>
      </c>
      <c r="B9" s="246" t="s">
        <v>33</v>
      </c>
      <c r="C9" s="246"/>
      <c r="D9" s="246"/>
      <c r="E9" s="246"/>
      <c r="F9" s="246"/>
      <c r="G9" s="246"/>
      <c r="H9" s="246"/>
      <c r="I9" s="246"/>
      <c r="J9" s="246"/>
      <c r="K9" s="246"/>
      <c r="L9" s="302">
        <v>24578400</v>
      </c>
      <c r="M9" s="249">
        <v>50578400</v>
      </c>
      <c r="N9" s="249">
        <f>50578400*70%</f>
        <v>35404880</v>
      </c>
      <c r="O9" s="249">
        <v>45404880</v>
      </c>
      <c r="P9" s="249">
        <v>45404880</v>
      </c>
      <c r="Q9" s="249">
        <v>70404880</v>
      </c>
      <c r="R9" s="249">
        <v>70404880</v>
      </c>
      <c r="S9" s="848">
        <v>70404880</v>
      </c>
      <c r="T9" s="249">
        <f t="shared" si="0"/>
        <v>0</v>
      </c>
    </row>
    <row r="10" spans="1:20" ht="36" customHeight="1">
      <c r="A10" s="392">
        <v>22104</v>
      </c>
      <c r="B10" s="246" t="s">
        <v>34</v>
      </c>
      <c r="C10" s="246">
        <v>0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302">
        <v>8937600</v>
      </c>
      <c r="M10" s="249">
        <v>18937600</v>
      </c>
      <c r="N10" s="249">
        <f>18937600*70%</f>
        <v>13256320</v>
      </c>
      <c r="O10" s="249">
        <f>18937600*70%</f>
        <v>13256320</v>
      </c>
      <c r="P10" s="249">
        <f>18937600*70%</f>
        <v>13256320</v>
      </c>
      <c r="Q10" s="249">
        <f>18937600*70%</f>
        <v>13256320</v>
      </c>
      <c r="R10" s="249">
        <v>35256320</v>
      </c>
      <c r="S10" s="848">
        <v>50000000</v>
      </c>
      <c r="T10" s="249">
        <f t="shared" si="0"/>
        <v>14743680</v>
      </c>
    </row>
    <row r="11" spans="1:20" ht="36" customHeight="1">
      <c r="A11" s="392">
        <v>22105</v>
      </c>
      <c r="B11" s="246" t="s">
        <v>135</v>
      </c>
      <c r="C11" s="246">
        <v>7576740</v>
      </c>
      <c r="D11" s="246">
        <v>6576534</v>
      </c>
      <c r="E11" s="246">
        <v>6576534</v>
      </c>
      <c r="F11" s="246">
        <v>11000000</v>
      </c>
      <c r="G11" s="246">
        <v>0</v>
      </c>
      <c r="H11" s="246">
        <v>45560000</v>
      </c>
      <c r="I11" s="246">
        <v>100000000</v>
      </c>
      <c r="J11" s="246">
        <v>100000000</v>
      </c>
      <c r="K11" s="246">
        <v>115000000</v>
      </c>
      <c r="L11" s="302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42000000</v>
      </c>
      <c r="R11" s="249">
        <v>42000000</v>
      </c>
      <c r="S11" s="848">
        <v>50000000</v>
      </c>
      <c r="T11" s="249">
        <f t="shared" si="0"/>
        <v>8000000</v>
      </c>
    </row>
    <row r="12" spans="1:20" ht="36" customHeight="1">
      <c r="A12" s="392">
        <v>22107</v>
      </c>
      <c r="B12" s="246" t="s">
        <v>48</v>
      </c>
      <c r="C12" s="246">
        <v>1000000</v>
      </c>
      <c r="D12" s="246">
        <v>1000000</v>
      </c>
      <c r="E12" s="246">
        <v>1000000</v>
      </c>
      <c r="F12" s="246">
        <v>1000000</v>
      </c>
      <c r="G12" s="246">
        <v>0</v>
      </c>
      <c r="H12" s="246">
        <v>12000000</v>
      </c>
      <c r="I12" s="246">
        <v>15000000</v>
      </c>
      <c r="J12" s="246">
        <v>14896000</v>
      </c>
      <c r="K12" s="246">
        <v>14896000</v>
      </c>
      <c r="L12" s="302">
        <v>0</v>
      </c>
      <c r="M12" s="249">
        <v>0</v>
      </c>
      <c r="N12" s="249">
        <v>0</v>
      </c>
      <c r="O12" s="249">
        <v>20000000</v>
      </c>
      <c r="P12" s="249">
        <v>20000000</v>
      </c>
      <c r="Q12" s="249">
        <v>20000000</v>
      </c>
      <c r="R12" s="249">
        <v>20000000</v>
      </c>
      <c r="S12" s="848">
        <v>25000000</v>
      </c>
      <c r="T12" s="249">
        <f t="shared" si="0"/>
        <v>5000000</v>
      </c>
    </row>
    <row r="13" spans="1:20" ht="36" customHeight="1">
      <c r="A13" s="392">
        <v>22109</v>
      </c>
      <c r="B13" s="246" t="s">
        <v>136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302">
        <v>8937600</v>
      </c>
      <c r="M13" s="249">
        <v>9165672</v>
      </c>
      <c r="N13" s="249">
        <v>9165672</v>
      </c>
      <c r="O13" s="249">
        <v>9165672</v>
      </c>
      <c r="P13" s="249">
        <v>9165672</v>
      </c>
      <c r="Q13" s="249">
        <v>9165672</v>
      </c>
      <c r="R13" s="249">
        <v>9165672</v>
      </c>
      <c r="S13" s="848">
        <v>9165672</v>
      </c>
      <c r="T13" s="249">
        <f t="shared" si="0"/>
        <v>0</v>
      </c>
    </row>
    <row r="14" spans="1:20" s="492" customFormat="1" ht="36" customHeight="1">
      <c r="A14" s="392">
        <v>22112</v>
      </c>
      <c r="B14" s="246" t="s">
        <v>35</v>
      </c>
      <c r="C14" s="246">
        <f t="shared" ref="C14:K14" si="3">SUM(C10:C13)</f>
        <v>8576740</v>
      </c>
      <c r="D14" s="246">
        <f t="shared" si="3"/>
        <v>7576534</v>
      </c>
      <c r="E14" s="246">
        <f t="shared" si="3"/>
        <v>7576534</v>
      </c>
      <c r="F14" s="246">
        <f t="shared" si="3"/>
        <v>12000000</v>
      </c>
      <c r="G14" s="246">
        <f t="shared" si="3"/>
        <v>0</v>
      </c>
      <c r="H14" s="246">
        <f t="shared" si="3"/>
        <v>57560000</v>
      </c>
      <c r="I14" s="280">
        <f t="shared" si="3"/>
        <v>115000000</v>
      </c>
      <c r="J14" s="280">
        <f t="shared" si="3"/>
        <v>114896000</v>
      </c>
      <c r="K14" s="280">
        <f t="shared" si="3"/>
        <v>129896000</v>
      </c>
      <c r="L14" s="302">
        <v>11916800</v>
      </c>
      <c r="M14" s="249">
        <v>15916800</v>
      </c>
      <c r="N14" s="249">
        <f>15916800*70%</f>
        <v>11141760</v>
      </c>
      <c r="O14" s="249">
        <v>17141760</v>
      </c>
      <c r="P14" s="249">
        <v>27141760</v>
      </c>
      <c r="Q14" s="249">
        <v>27141760</v>
      </c>
      <c r="R14" s="249">
        <v>27141760</v>
      </c>
      <c r="S14" s="848">
        <v>27141760</v>
      </c>
      <c r="T14" s="249">
        <f t="shared" si="0"/>
        <v>0</v>
      </c>
    </row>
    <row r="15" spans="1:20" ht="36" customHeight="1">
      <c r="A15" s="392">
        <v>22129</v>
      </c>
      <c r="B15" s="246" t="s">
        <v>143</v>
      </c>
      <c r="C15" s="246"/>
      <c r="D15" s="246"/>
      <c r="E15" s="246"/>
      <c r="F15" s="246"/>
      <c r="G15" s="246"/>
      <c r="H15" s="246"/>
      <c r="I15" s="246"/>
      <c r="J15" s="246"/>
      <c r="K15" s="246"/>
      <c r="L15" s="302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848">
        <v>0</v>
      </c>
      <c r="T15" s="249">
        <f t="shared" si="0"/>
        <v>0</v>
      </c>
    </row>
    <row r="16" spans="1:20" ht="36" customHeight="1">
      <c r="A16" s="392">
        <v>22130</v>
      </c>
      <c r="B16" s="246" t="s">
        <v>916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302"/>
      <c r="M16" s="249"/>
      <c r="N16" s="249"/>
      <c r="O16" s="249">
        <v>0</v>
      </c>
      <c r="P16" s="249">
        <v>150000000</v>
      </c>
      <c r="Q16" s="249">
        <v>200000000</v>
      </c>
      <c r="R16" s="249">
        <v>250000000</v>
      </c>
      <c r="S16" s="848">
        <v>300000000</v>
      </c>
      <c r="T16" s="249">
        <f t="shared" si="0"/>
        <v>50000000</v>
      </c>
    </row>
    <row r="17" spans="1:20" ht="36" customHeight="1">
      <c r="A17" s="392"/>
      <c r="B17" s="280" t="s">
        <v>92</v>
      </c>
      <c r="C17" s="246"/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303">
        <f t="shared" ref="L17:P17" si="4">SUM(L9:L16)</f>
        <v>54370400</v>
      </c>
      <c r="M17" s="285">
        <f t="shared" si="4"/>
        <v>94598472</v>
      </c>
      <c r="N17" s="285">
        <f t="shared" si="4"/>
        <v>68968632</v>
      </c>
      <c r="O17" s="285">
        <f t="shared" si="4"/>
        <v>104968632</v>
      </c>
      <c r="P17" s="285">
        <f t="shared" si="4"/>
        <v>264968632</v>
      </c>
      <c r="Q17" s="285">
        <f>SUM(Q9:Q16)</f>
        <v>381968632</v>
      </c>
      <c r="R17" s="285">
        <f>SUM(R9:R16)</f>
        <v>453968632</v>
      </c>
      <c r="S17" s="849">
        <f>SUM(S9:S16)</f>
        <v>531712312</v>
      </c>
      <c r="T17" s="285">
        <f t="shared" si="0"/>
        <v>77743680</v>
      </c>
    </row>
    <row r="18" spans="1:20" ht="36" customHeight="1">
      <c r="A18" s="476">
        <v>2220</v>
      </c>
      <c r="B18" s="280" t="s">
        <v>131</v>
      </c>
      <c r="C18" s="246"/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0</v>
      </c>
      <c r="J18" s="246">
        <v>4468800</v>
      </c>
      <c r="K18" s="246">
        <v>4468800</v>
      </c>
      <c r="L18" s="302"/>
      <c r="M18" s="249"/>
      <c r="N18" s="249"/>
      <c r="O18" s="249"/>
      <c r="P18" s="249"/>
      <c r="Q18" s="249"/>
      <c r="R18" s="249"/>
      <c r="S18" s="848"/>
      <c r="T18" s="249">
        <f t="shared" si="0"/>
        <v>0</v>
      </c>
    </row>
    <row r="19" spans="1:20" ht="36" customHeight="1">
      <c r="A19" s="392">
        <v>22201</v>
      </c>
      <c r="B19" s="246" t="s">
        <v>132</v>
      </c>
      <c r="C19" s="246"/>
      <c r="D19" s="246">
        <v>0</v>
      </c>
      <c r="E19" s="246">
        <v>0</v>
      </c>
      <c r="F19" s="246">
        <v>0</v>
      </c>
      <c r="G19" s="246">
        <v>0</v>
      </c>
      <c r="H19" s="246">
        <v>2400000</v>
      </c>
      <c r="I19" s="246">
        <v>3000000</v>
      </c>
      <c r="J19" s="246">
        <v>2979200</v>
      </c>
      <c r="K19" s="246">
        <v>2979200</v>
      </c>
      <c r="L19" s="302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848">
        <v>0</v>
      </c>
      <c r="T19" s="249">
        <f t="shared" si="0"/>
        <v>0</v>
      </c>
    </row>
    <row r="20" spans="1:20" s="492" customFormat="1" ht="36" customHeight="1">
      <c r="A20" s="392">
        <v>22202</v>
      </c>
      <c r="B20" s="246" t="s">
        <v>133</v>
      </c>
      <c r="C20" s="246" t="e">
        <f>SUM(#REF!)</f>
        <v>#REF!</v>
      </c>
      <c r="D20" s="246">
        <v>0</v>
      </c>
      <c r="E20" s="246">
        <f t="shared" ref="E20:K20" si="5">SUM(E17:E19)</f>
        <v>0</v>
      </c>
      <c r="F20" s="246">
        <f t="shared" si="5"/>
        <v>0</v>
      </c>
      <c r="G20" s="246">
        <f t="shared" si="5"/>
        <v>0</v>
      </c>
      <c r="H20" s="246">
        <f t="shared" si="5"/>
        <v>2400000</v>
      </c>
      <c r="I20" s="280">
        <f t="shared" si="5"/>
        <v>3000000</v>
      </c>
      <c r="J20" s="280">
        <f t="shared" si="5"/>
        <v>7448000</v>
      </c>
      <c r="K20" s="280">
        <f t="shared" si="5"/>
        <v>7448000</v>
      </c>
      <c r="L20" s="302">
        <v>100000000</v>
      </c>
      <c r="M20" s="249">
        <v>160000000</v>
      </c>
      <c r="N20" s="301">
        <f>160000000*70%+48000000</f>
        <v>160000000</v>
      </c>
      <c r="O20" s="301">
        <v>128000000</v>
      </c>
      <c r="P20" s="301">
        <v>148000000</v>
      </c>
      <c r="Q20" s="301">
        <v>148000000</v>
      </c>
      <c r="R20" s="301">
        <v>148000000</v>
      </c>
      <c r="S20" s="903">
        <v>190000000</v>
      </c>
      <c r="T20" s="249">
        <f t="shared" si="0"/>
        <v>42000000</v>
      </c>
    </row>
    <row r="21" spans="1:20" ht="36" customHeight="1">
      <c r="A21" s="392">
        <v>22203</v>
      </c>
      <c r="B21" s="246" t="s">
        <v>127</v>
      </c>
      <c r="C21" s="246"/>
      <c r="D21" s="246"/>
      <c r="E21" s="246"/>
      <c r="F21" s="246"/>
      <c r="G21" s="246"/>
      <c r="H21" s="246"/>
      <c r="I21" s="246"/>
      <c r="J21" s="246"/>
      <c r="K21" s="246"/>
      <c r="L21" s="302">
        <v>11172000</v>
      </c>
      <c r="M21" s="249">
        <v>11172000</v>
      </c>
      <c r="N21" s="249">
        <f>11172000*70%</f>
        <v>7820399.9999999991</v>
      </c>
      <c r="O21" s="249">
        <v>20000000</v>
      </c>
      <c r="P21" s="249">
        <v>20000000</v>
      </c>
      <c r="Q21" s="249">
        <v>20000000</v>
      </c>
      <c r="R21" s="249">
        <v>20000000</v>
      </c>
      <c r="S21" s="848">
        <v>30000000</v>
      </c>
      <c r="T21" s="249">
        <f t="shared" si="0"/>
        <v>10000000</v>
      </c>
    </row>
    <row r="22" spans="1:20" ht="36" customHeight="1">
      <c r="A22" s="392">
        <v>22204</v>
      </c>
      <c r="B22" s="246" t="s">
        <v>128</v>
      </c>
      <c r="C22" s="246">
        <v>3923340</v>
      </c>
      <c r="D22" s="246">
        <v>3951000</v>
      </c>
      <c r="E22" s="246">
        <v>3951000</v>
      </c>
      <c r="F22" s="246">
        <v>3951000</v>
      </c>
      <c r="G22" s="246">
        <v>0</v>
      </c>
      <c r="H22" s="246">
        <v>4000000</v>
      </c>
      <c r="I22" s="246">
        <v>12000000</v>
      </c>
      <c r="J22" s="246">
        <v>11172000</v>
      </c>
      <c r="K22" s="246">
        <v>17172000</v>
      </c>
      <c r="L22" s="302">
        <v>14896000</v>
      </c>
      <c r="M22" s="249">
        <v>14896000</v>
      </c>
      <c r="N22" s="249">
        <f t="shared" ref="N22:S22" si="6">14896000*70%</f>
        <v>10427200</v>
      </c>
      <c r="O22" s="249">
        <f t="shared" si="6"/>
        <v>10427200</v>
      </c>
      <c r="P22" s="249">
        <f t="shared" si="6"/>
        <v>10427200</v>
      </c>
      <c r="Q22" s="249">
        <f t="shared" si="6"/>
        <v>10427200</v>
      </c>
      <c r="R22" s="249">
        <f t="shared" si="6"/>
        <v>10427200</v>
      </c>
      <c r="S22" s="848">
        <f t="shared" si="6"/>
        <v>10427200</v>
      </c>
      <c r="T22" s="249">
        <f t="shared" si="0"/>
        <v>0</v>
      </c>
    </row>
    <row r="23" spans="1:20" ht="36" customHeight="1">
      <c r="A23" s="476"/>
      <c r="B23" s="280" t="s">
        <v>92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6000000</v>
      </c>
      <c r="L23" s="303">
        <f t="shared" ref="L23:P23" si="7">SUM(L19:L22)</f>
        <v>126068000</v>
      </c>
      <c r="M23" s="285">
        <f t="shared" si="7"/>
        <v>186068000</v>
      </c>
      <c r="N23" s="285">
        <f t="shared" si="7"/>
        <v>178247600</v>
      </c>
      <c r="O23" s="285">
        <f t="shared" si="7"/>
        <v>158427200</v>
      </c>
      <c r="P23" s="285">
        <f t="shared" si="7"/>
        <v>178427200</v>
      </c>
      <c r="Q23" s="285">
        <f>SUM(Q19:Q22)</f>
        <v>178427200</v>
      </c>
      <c r="R23" s="285">
        <f>SUM(R19:R22)</f>
        <v>178427200</v>
      </c>
      <c r="S23" s="849">
        <f>SUM(S19:S22)</f>
        <v>230427200</v>
      </c>
      <c r="T23" s="285">
        <f t="shared" si="0"/>
        <v>52000000</v>
      </c>
    </row>
    <row r="24" spans="1:20" ht="36" customHeight="1">
      <c r="A24" s="476">
        <v>2230</v>
      </c>
      <c r="B24" s="280" t="s">
        <v>130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302"/>
      <c r="M24" s="249"/>
      <c r="N24" s="249"/>
      <c r="O24" s="249"/>
      <c r="P24" s="249"/>
      <c r="Q24" s="249"/>
      <c r="R24" s="249"/>
      <c r="S24" s="848"/>
      <c r="T24" s="249">
        <f t="shared" si="0"/>
        <v>0</v>
      </c>
    </row>
    <row r="25" spans="1:20" ht="36" customHeight="1">
      <c r="A25" s="392">
        <v>22301</v>
      </c>
      <c r="B25" s="246" t="s">
        <v>150</v>
      </c>
      <c r="C25" s="246">
        <v>4000000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302">
        <v>11172000</v>
      </c>
      <c r="M25" s="249">
        <f>11172000+18000000</f>
        <v>29172000</v>
      </c>
      <c r="N25" s="249">
        <f>29172000*70%</f>
        <v>20420400</v>
      </c>
      <c r="O25" s="249">
        <v>30420400</v>
      </c>
      <c r="P25" s="249">
        <v>30420400</v>
      </c>
      <c r="Q25" s="249">
        <v>30420400</v>
      </c>
      <c r="R25" s="249">
        <v>30420400</v>
      </c>
      <c r="S25" s="848">
        <v>50000000</v>
      </c>
      <c r="T25" s="249">
        <f t="shared" si="0"/>
        <v>19579600</v>
      </c>
    </row>
    <row r="26" spans="1:20" ht="36" customHeight="1">
      <c r="A26" s="392">
        <v>22302</v>
      </c>
      <c r="B26" s="246" t="s">
        <v>428</v>
      </c>
      <c r="C26" s="246">
        <v>937420</v>
      </c>
      <c r="D26" s="246">
        <v>0</v>
      </c>
      <c r="E26" s="246">
        <v>0</v>
      </c>
      <c r="F26" s="246">
        <v>0</v>
      </c>
      <c r="G26" s="246">
        <v>0</v>
      </c>
      <c r="H26" s="246">
        <v>4800000</v>
      </c>
      <c r="I26" s="246">
        <v>10000000</v>
      </c>
      <c r="J26" s="246">
        <v>8937600</v>
      </c>
      <c r="K26" s="246">
        <v>13001600</v>
      </c>
      <c r="L26" s="302">
        <v>2979200</v>
      </c>
      <c r="M26" s="249">
        <v>2979200</v>
      </c>
      <c r="N26" s="249">
        <f>2979200*70%</f>
        <v>2085439.9999999998</v>
      </c>
      <c r="O26" s="249">
        <v>25000000</v>
      </c>
      <c r="P26" s="249">
        <v>50000000</v>
      </c>
      <c r="Q26" s="249">
        <v>0</v>
      </c>
      <c r="R26" s="249">
        <v>0</v>
      </c>
      <c r="S26" s="848">
        <v>0</v>
      </c>
      <c r="T26" s="249">
        <f t="shared" si="0"/>
        <v>0</v>
      </c>
    </row>
    <row r="27" spans="1:20" ht="36" customHeight="1">
      <c r="A27" s="392"/>
      <c r="B27" s="280" t="s">
        <v>92</v>
      </c>
      <c r="C27" s="246"/>
      <c r="D27" s="246"/>
      <c r="E27" s="246"/>
      <c r="F27" s="246"/>
      <c r="G27" s="246"/>
      <c r="H27" s="246"/>
      <c r="I27" s="246"/>
      <c r="J27" s="246"/>
      <c r="K27" s="246"/>
      <c r="L27" s="303">
        <f t="shared" ref="L27:P27" si="8">SUM(L25:L26)</f>
        <v>14151200</v>
      </c>
      <c r="M27" s="285">
        <f t="shared" si="8"/>
        <v>32151200</v>
      </c>
      <c r="N27" s="285">
        <f t="shared" si="8"/>
        <v>22505840</v>
      </c>
      <c r="O27" s="285">
        <f t="shared" si="8"/>
        <v>55420400</v>
      </c>
      <c r="P27" s="285">
        <f t="shared" si="8"/>
        <v>80420400</v>
      </c>
      <c r="Q27" s="285">
        <f>SUM(Q25:Q26)</f>
        <v>30420400</v>
      </c>
      <c r="R27" s="285">
        <f>SUM(R25:R26)</f>
        <v>30420400</v>
      </c>
      <c r="S27" s="849">
        <f>SUM(S25:S26)</f>
        <v>50000000</v>
      </c>
      <c r="T27" s="285">
        <f t="shared" si="0"/>
        <v>19579600</v>
      </c>
    </row>
    <row r="28" spans="1:20" ht="36" customHeight="1">
      <c r="A28" s="476">
        <v>270</v>
      </c>
      <c r="B28" s="280" t="s">
        <v>144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2979200</v>
      </c>
      <c r="K28" s="246">
        <v>2979200</v>
      </c>
      <c r="L28" s="302"/>
      <c r="M28" s="249"/>
      <c r="N28" s="249"/>
      <c r="O28" s="249"/>
      <c r="P28" s="249"/>
      <c r="Q28" s="249"/>
      <c r="R28" s="249"/>
      <c r="S28" s="848"/>
      <c r="T28" s="249">
        <f t="shared" si="0"/>
        <v>0</v>
      </c>
    </row>
    <row r="29" spans="1:20" s="492" customFormat="1" ht="36" customHeight="1">
      <c r="A29" s="476">
        <v>2710</v>
      </c>
      <c r="B29" s="280" t="s">
        <v>145</v>
      </c>
      <c r="C29" s="246">
        <f t="shared" ref="C29:K29" si="9">SUM(C22:C28)</f>
        <v>8860760</v>
      </c>
      <c r="D29" s="246">
        <f t="shared" si="9"/>
        <v>3951000</v>
      </c>
      <c r="E29" s="246">
        <f t="shared" si="9"/>
        <v>3951000</v>
      </c>
      <c r="F29" s="246">
        <f t="shared" si="9"/>
        <v>3951000</v>
      </c>
      <c r="G29" s="246">
        <f t="shared" si="9"/>
        <v>0</v>
      </c>
      <c r="H29" s="246">
        <f t="shared" si="9"/>
        <v>8800000</v>
      </c>
      <c r="I29" s="280">
        <f t="shared" si="9"/>
        <v>22000000</v>
      </c>
      <c r="J29" s="280">
        <f t="shared" si="9"/>
        <v>23088800</v>
      </c>
      <c r="K29" s="280">
        <f t="shared" si="9"/>
        <v>39152800</v>
      </c>
      <c r="L29" s="303"/>
      <c r="M29" s="285"/>
      <c r="N29" s="285"/>
      <c r="O29" s="285"/>
      <c r="P29" s="285"/>
      <c r="Q29" s="285"/>
      <c r="R29" s="285"/>
      <c r="S29" s="849"/>
      <c r="T29" s="249">
        <f t="shared" si="0"/>
        <v>0</v>
      </c>
    </row>
    <row r="30" spans="1:20" ht="36" customHeight="1">
      <c r="A30" s="392">
        <v>27601</v>
      </c>
      <c r="B30" s="246" t="s">
        <v>146</v>
      </c>
      <c r="C30" s="246"/>
      <c r="D30" s="246"/>
      <c r="E30" s="246"/>
      <c r="F30" s="246"/>
      <c r="G30" s="246"/>
      <c r="H30" s="246"/>
      <c r="I30" s="246"/>
      <c r="J30" s="246"/>
      <c r="K30" s="246"/>
      <c r="L30" s="302">
        <v>7448000</v>
      </c>
      <c r="M30" s="249">
        <v>7448000</v>
      </c>
      <c r="N30" s="249">
        <f>7448000*70%</f>
        <v>5213600</v>
      </c>
      <c r="O30" s="249">
        <v>0</v>
      </c>
      <c r="P30" s="249">
        <v>0</v>
      </c>
      <c r="Q30" s="249">
        <v>0</v>
      </c>
      <c r="R30" s="249">
        <v>0</v>
      </c>
      <c r="S30" s="848">
        <v>15000000</v>
      </c>
      <c r="T30" s="249">
        <f t="shared" si="0"/>
        <v>15000000</v>
      </c>
    </row>
    <row r="31" spans="1:20" ht="36" customHeight="1">
      <c r="A31" s="392">
        <v>27402</v>
      </c>
      <c r="B31" s="246" t="s">
        <v>147</v>
      </c>
      <c r="C31" s="246">
        <v>168000</v>
      </c>
      <c r="D31" s="246">
        <v>0</v>
      </c>
      <c r="E31" s="246">
        <v>0</v>
      </c>
      <c r="F31" s="246">
        <v>0</v>
      </c>
      <c r="G31" s="246">
        <v>0</v>
      </c>
      <c r="H31" s="246">
        <v>12440000</v>
      </c>
      <c r="I31" s="246">
        <v>18000000</v>
      </c>
      <c r="J31" s="246">
        <v>24578400</v>
      </c>
      <c r="K31" s="246">
        <v>34578400</v>
      </c>
      <c r="L31" s="302">
        <v>0</v>
      </c>
      <c r="M31" s="249">
        <v>0</v>
      </c>
      <c r="N31" s="249">
        <v>0</v>
      </c>
      <c r="O31" s="249">
        <v>0</v>
      </c>
      <c r="P31" s="249">
        <v>42000000</v>
      </c>
      <c r="Q31" s="249">
        <v>0</v>
      </c>
      <c r="R31" s="249">
        <v>42000000</v>
      </c>
      <c r="S31" s="848">
        <v>0</v>
      </c>
      <c r="T31" s="249">
        <f t="shared" si="0"/>
        <v>-42000000</v>
      </c>
    </row>
    <row r="32" spans="1:20" ht="36" customHeight="1">
      <c r="A32" s="392">
        <v>27502</v>
      </c>
      <c r="B32" s="246" t="s">
        <v>148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302">
        <v>4468800</v>
      </c>
      <c r="M32" s="249">
        <v>4468800</v>
      </c>
      <c r="N32" s="249">
        <f>4468800*70%</f>
        <v>3128160</v>
      </c>
      <c r="O32" s="249">
        <v>0</v>
      </c>
      <c r="P32" s="249">
        <v>0</v>
      </c>
      <c r="Q32" s="249">
        <v>0</v>
      </c>
      <c r="R32" s="249">
        <v>0</v>
      </c>
      <c r="S32" s="848">
        <v>0</v>
      </c>
      <c r="T32" s="249">
        <f t="shared" si="0"/>
        <v>0</v>
      </c>
    </row>
    <row r="33" spans="1:20" ht="36" customHeight="1">
      <c r="A33" s="392">
        <v>27604</v>
      </c>
      <c r="B33" s="246" t="s">
        <v>149</v>
      </c>
      <c r="C33" s="246">
        <v>1746000</v>
      </c>
      <c r="D33" s="246">
        <v>1000000</v>
      </c>
      <c r="E33" s="246">
        <v>1000000</v>
      </c>
      <c r="F33" s="246">
        <v>2000000</v>
      </c>
      <c r="G33" s="246">
        <v>0</v>
      </c>
      <c r="H33" s="246">
        <v>5060000</v>
      </c>
      <c r="I33" s="246">
        <v>6325000</v>
      </c>
      <c r="J33" s="246">
        <v>8937600</v>
      </c>
      <c r="K33" s="246">
        <v>16937600</v>
      </c>
      <c r="L33" s="302">
        <v>2979200</v>
      </c>
      <c r="M33" s="249">
        <v>2979200</v>
      </c>
      <c r="N33" s="249">
        <f>2979200*70%</f>
        <v>2085439.9999999998</v>
      </c>
      <c r="O33" s="249">
        <v>0</v>
      </c>
      <c r="P33" s="249">
        <v>0</v>
      </c>
      <c r="Q33" s="249">
        <v>0</v>
      </c>
      <c r="R33" s="249">
        <v>0</v>
      </c>
      <c r="S33" s="848">
        <v>0</v>
      </c>
      <c r="T33" s="249">
        <f t="shared" si="0"/>
        <v>0</v>
      </c>
    </row>
    <row r="34" spans="1:20" ht="36" customHeight="1">
      <c r="A34" s="392"/>
      <c r="B34" s="280" t="s">
        <v>92</v>
      </c>
      <c r="C34" s="246">
        <v>0</v>
      </c>
      <c r="D34" s="246">
        <v>0</v>
      </c>
      <c r="E34" s="246">
        <v>0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303">
        <f t="shared" ref="L34:P34" si="10">SUM(L30:L33)</f>
        <v>14896000</v>
      </c>
      <c r="M34" s="285">
        <f t="shared" si="10"/>
        <v>14896000</v>
      </c>
      <c r="N34" s="285">
        <f t="shared" si="10"/>
        <v>10427200</v>
      </c>
      <c r="O34" s="285">
        <f t="shared" si="10"/>
        <v>0</v>
      </c>
      <c r="P34" s="285">
        <f t="shared" si="10"/>
        <v>42000000</v>
      </c>
      <c r="Q34" s="285">
        <f>SUM(Q30:Q33)</f>
        <v>0</v>
      </c>
      <c r="R34" s="285">
        <f>SUM(R30:R33)</f>
        <v>42000000</v>
      </c>
      <c r="S34" s="849">
        <f>SUM(S30:S33)</f>
        <v>15000000</v>
      </c>
      <c r="T34" s="285">
        <f t="shared" si="0"/>
        <v>-27000000</v>
      </c>
    </row>
    <row r="35" spans="1:20" ht="36" customHeight="1">
      <c r="A35" s="659"/>
      <c r="B35" s="478" t="s">
        <v>37</v>
      </c>
      <c r="C35" s="246">
        <v>0</v>
      </c>
      <c r="D35" s="246">
        <v>0</v>
      </c>
      <c r="E35" s="246">
        <v>495000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303" t="e">
        <f>#REF!+#REF!+L34+L23+L17+L7</f>
        <v>#REF!</v>
      </c>
      <c r="M35" s="285" t="e">
        <f>#REF!+M34+M23+M17+M7</f>
        <v>#REF!</v>
      </c>
      <c r="N35" s="285" t="e">
        <f>#REF!+N34+N23+N17+N7</f>
        <v>#REF!</v>
      </c>
      <c r="O35" s="285" t="e">
        <f>#REF!+O34+O23+O17+O7</f>
        <v>#REF!</v>
      </c>
      <c r="P35" s="285">
        <f>P34+P27+P23+P17+P7</f>
        <v>1144049672</v>
      </c>
      <c r="Q35" s="285">
        <f>Q34+Q27+Q23+Q17+Q7</f>
        <v>1173355272</v>
      </c>
      <c r="R35" s="285">
        <f>R34+R27+R23+R17+R7</f>
        <v>1314312072</v>
      </c>
      <c r="S35" s="849">
        <f>S34+S27+S23+S17+S7</f>
        <v>1583336504</v>
      </c>
      <c r="T35" s="285">
        <f t="shared" si="0"/>
        <v>269024432</v>
      </c>
    </row>
  </sheetData>
  <phoneticPr fontId="0" type="noConversion"/>
  <printOptions gridLines="1"/>
  <pageMargins left="0.73" right="0.25" top="0.78" bottom="0.64" header="0.27" footer="0.31"/>
  <pageSetup scale="55" orientation="portrait" r:id="rId1"/>
  <headerFooter alignWithMargins="0">
    <oddHeader>&amp;C&amp;"Algerian,Bold"&amp;24HAY'ADA DEEGAANKA CILM. B. IYO U DIYAARGAWGA DHIBAATOOYINKA (NERAD)</oddHeader>
    <oddFooter>&amp;R&amp;"Times New Roman,Bold"&amp;14 54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topLeftCell="A28" zoomScale="60" workbookViewId="0">
      <selection activeCell="I51" sqref="I51"/>
    </sheetView>
  </sheetViews>
  <sheetFormatPr defaultRowHeight="24" customHeight="1"/>
  <cols>
    <col min="1" max="1" width="20.33203125" style="644" bestFit="1" customWidth="1"/>
    <col min="2" max="2" width="81.6640625" style="656" customWidth="1"/>
    <col min="3" max="3" width="21.33203125" style="399" hidden="1" customWidth="1"/>
    <col min="4" max="4" width="22.5" style="399" hidden="1" customWidth="1"/>
    <col min="5" max="7" width="27.6640625" style="498" hidden="1" customWidth="1"/>
    <col min="8" max="10" width="27.6640625" style="498" customWidth="1"/>
    <col min="11" max="11" width="9.33203125" style="399"/>
    <col min="12" max="12" width="16.5" style="399" bestFit="1" customWidth="1"/>
    <col min="13" max="16384" width="9.33203125" style="399"/>
  </cols>
  <sheetData>
    <row r="1" spans="1:12" ht="24" customHeight="1">
      <c r="A1" s="608" t="s">
        <v>40</v>
      </c>
      <c r="B1" s="545" t="s">
        <v>1025</v>
      </c>
      <c r="C1" s="545"/>
      <c r="D1" s="545"/>
      <c r="E1" s="303"/>
      <c r="F1" s="303"/>
      <c r="G1" s="303"/>
      <c r="H1" s="303"/>
      <c r="I1" s="303"/>
      <c r="J1" s="303"/>
    </row>
    <row r="2" spans="1:12" ht="24" customHeight="1">
      <c r="A2" s="608" t="s">
        <v>25</v>
      </c>
      <c r="B2" s="545" t="s">
        <v>26</v>
      </c>
      <c r="C2" s="545" t="s">
        <v>151</v>
      </c>
      <c r="D2" s="545" t="s">
        <v>257</v>
      </c>
      <c r="E2" s="303" t="s">
        <v>814</v>
      </c>
      <c r="F2" s="303" t="s">
        <v>874</v>
      </c>
      <c r="G2" s="303" t="s">
        <v>973</v>
      </c>
      <c r="H2" s="303" t="s">
        <v>1160</v>
      </c>
      <c r="I2" s="303" t="s">
        <v>1320</v>
      </c>
      <c r="J2" s="303" t="s">
        <v>56</v>
      </c>
    </row>
    <row r="3" spans="1:12" ht="24" customHeight="1">
      <c r="A3" s="476">
        <v>210</v>
      </c>
      <c r="B3" s="280" t="s">
        <v>137</v>
      </c>
      <c r="C3" s="545"/>
      <c r="D3" s="545"/>
      <c r="E3" s="303"/>
      <c r="F3" s="303"/>
      <c r="G3" s="303"/>
      <c r="H3" s="303"/>
      <c r="I3" s="303"/>
      <c r="J3" s="303"/>
    </row>
    <row r="4" spans="1:12" ht="24" customHeight="1">
      <c r="A4" s="476">
        <v>2110</v>
      </c>
      <c r="B4" s="280" t="s">
        <v>213</v>
      </c>
      <c r="C4" s="402"/>
      <c r="D4" s="402"/>
      <c r="E4" s="302"/>
      <c r="F4" s="302"/>
      <c r="G4" s="302"/>
      <c r="H4" s="302"/>
      <c r="I4" s="302"/>
      <c r="J4" s="302"/>
    </row>
    <row r="5" spans="1:12" ht="24" customHeight="1">
      <c r="A5" s="392">
        <v>21101</v>
      </c>
      <c r="B5" s="246" t="s">
        <v>28</v>
      </c>
      <c r="C5" s="402">
        <v>0</v>
      </c>
      <c r="D5" s="402">
        <v>539292000</v>
      </c>
      <c r="E5" s="302">
        <v>540103200</v>
      </c>
      <c r="F5" s="302">
        <v>633672000</v>
      </c>
      <c r="G5" s="302">
        <v>715890240</v>
      </c>
      <c r="H5" s="302">
        <v>782383680</v>
      </c>
      <c r="I5" s="302">
        <v>1008925632</v>
      </c>
      <c r="J5" s="302">
        <f>I5-H5</f>
        <v>226541952</v>
      </c>
    </row>
    <row r="6" spans="1:12" ht="24" customHeight="1">
      <c r="A6" s="392">
        <v>21102</v>
      </c>
      <c r="B6" s="246" t="s">
        <v>611</v>
      </c>
      <c r="C6" s="402">
        <v>0</v>
      </c>
      <c r="D6" s="402">
        <v>22500000</v>
      </c>
      <c r="E6" s="302">
        <v>54000000</v>
      </c>
      <c r="F6" s="302">
        <v>114000000</v>
      </c>
      <c r="G6" s="302">
        <v>114000000</v>
      </c>
      <c r="H6" s="302">
        <v>114000000</v>
      </c>
      <c r="I6" s="302">
        <v>114000000</v>
      </c>
      <c r="J6" s="302">
        <f t="shared" ref="J6:J51" si="0">I6-H6</f>
        <v>0</v>
      </c>
    </row>
    <row r="7" spans="1:12" ht="24" customHeight="1">
      <c r="A7" s="392">
        <v>21103</v>
      </c>
      <c r="B7" s="246" t="s">
        <v>30</v>
      </c>
      <c r="C7" s="302">
        <f>SUM(C5:C6)</f>
        <v>0</v>
      </c>
      <c r="D7" s="302">
        <v>86400000</v>
      </c>
      <c r="E7" s="302">
        <v>104400000</v>
      </c>
      <c r="F7" s="302">
        <v>198000000</v>
      </c>
      <c r="G7" s="302">
        <v>198000000</v>
      </c>
      <c r="H7" s="302">
        <v>198000000</v>
      </c>
      <c r="I7" s="302">
        <v>198000000</v>
      </c>
      <c r="J7" s="302">
        <f t="shared" si="0"/>
        <v>0</v>
      </c>
    </row>
    <row r="8" spans="1:12" ht="24" customHeight="1">
      <c r="A8" s="392">
        <v>21105</v>
      </c>
      <c r="B8" s="246" t="s">
        <v>1190</v>
      </c>
      <c r="C8" s="302"/>
      <c r="D8" s="302"/>
      <c r="E8" s="302"/>
      <c r="F8" s="302"/>
      <c r="G8" s="302">
        <v>0</v>
      </c>
      <c r="H8" s="755">
        <v>216000000</v>
      </c>
      <c r="I8" s="862">
        <v>216000000</v>
      </c>
      <c r="J8" s="302">
        <f t="shared" si="0"/>
        <v>0</v>
      </c>
      <c r="L8" s="560"/>
    </row>
    <row r="9" spans="1:12" ht="24" customHeight="1">
      <c r="A9" s="392"/>
      <c r="B9" s="280" t="s">
        <v>92</v>
      </c>
      <c r="C9" s="302" t="e">
        <f>SUM(#REF!)</f>
        <v>#REF!</v>
      </c>
      <c r="D9" s="303">
        <f>SUM(D5:D7)</f>
        <v>648192000</v>
      </c>
      <c r="E9" s="303">
        <f>SUM(E5:E7)</f>
        <v>698503200</v>
      </c>
      <c r="F9" s="303">
        <f>SUM(F5:F7)</f>
        <v>945672000</v>
      </c>
      <c r="G9" s="303">
        <f>SUM(G5:G8)</f>
        <v>1027890240</v>
      </c>
      <c r="H9" s="303">
        <f>SUM(H5:H8)</f>
        <v>1310383680</v>
      </c>
      <c r="I9" s="863">
        <f>SUM(I5:I8)</f>
        <v>1536925632</v>
      </c>
      <c r="J9" s="303">
        <f t="shared" si="0"/>
        <v>226541952</v>
      </c>
    </row>
    <row r="10" spans="1:12" ht="24" customHeight="1">
      <c r="A10" s="476">
        <v>220</v>
      </c>
      <c r="B10" s="280" t="s">
        <v>225</v>
      </c>
      <c r="C10" s="302"/>
      <c r="D10" s="302"/>
      <c r="E10" s="302"/>
      <c r="F10" s="302"/>
      <c r="G10" s="302"/>
      <c r="H10" s="302"/>
      <c r="I10" s="861"/>
      <c r="J10" s="302">
        <f t="shared" si="0"/>
        <v>0</v>
      </c>
    </row>
    <row r="11" spans="1:12" ht="24" customHeight="1">
      <c r="A11" s="476">
        <v>2210</v>
      </c>
      <c r="B11" s="280" t="s">
        <v>226</v>
      </c>
      <c r="C11" s="302"/>
      <c r="D11" s="302"/>
      <c r="E11" s="302"/>
      <c r="F11" s="302"/>
      <c r="G11" s="302"/>
      <c r="H11" s="302"/>
      <c r="I11" s="861"/>
      <c r="J11" s="302">
        <f t="shared" si="0"/>
        <v>0</v>
      </c>
    </row>
    <row r="12" spans="1:12" ht="24" customHeight="1">
      <c r="A12" s="392">
        <v>22101</v>
      </c>
      <c r="B12" s="246" t="s">
        <v>33</v>
      </c>
      <c r="C12" s="302">
        <v>0</v>
      </c>
      <c r="D12" s="302">
        <v>15000000</v>
      </c>
      <c r="E12" s="302">
        <v>35000000</v>
      </c>
      <c r="F12" s="302">
        <v>65000000</v>
      </c>
      <c r="G12" s="302">
        <v>65000000</v>
      </c>
      <c r="H12" s="302">
        <v>65000000</v>
      </c>
      <c r="I12" s="861">
        <v>65000000</v>
      </c>
      <c r="J12" s="302">
        <f t="shared" si="0"/>
        <v>0</v>
      </c>
    </row>
    <row r="13" spans="1:12" ht="24" customHeight="1">
      <c r="A13" s="392">
        <v>22102</v>
      </c>
      <c r="B13" s="246" t="s">
        <v>337</v>
      </c>
      <c r="C13" s="302"/>
      <c r="D13" s="302">
        <v>10000000</v>
      </c>
      <c r="E13" s="302">
        <v>10000000</v>
      </c>
      <c r="F13" s="302">
        <v>0</v>
      </c>
      <c r="G13" s="302">
        <v>0</v>
      </c>
      <c r="H13" s="302">
        <v>0</v>
      </c>
      <c r="I13" s="861">
        <v>0</v>
      </c>
      <c r="J13" s="302">
        <f t="shared" si="0"/>
        <v>0</v>
      </c>
    </row>
    <row r="14" spans="1:12" ht="24" customHeight="1">
      <c r="A14" s="392">
        <v>22103</v>
      </c>
      <c r="B14" s="246" t="s">
        <v>348</v>
      </c>
      <c r="C14" s="302"/>
      <c r="D14" s="302">
        <f>30000000*70%</f>
        <v>21000000</v>
      </c>
      <c r="E14" s="246"/>
      <c r="F14" s="246"/>
      <c r="G14" s="246"/>
      <c r="H14" s="246"/>
      <c r="I14" s="840"/>
      <c r="J14" s="302">
        <f t="shared" si="0"/>
        <v>0</v>
      </c>
    </row>
    <row r="15" spans="1:12" ht="24" customHeight="1">
      <c r="A15" s="392">
        <v>22104</v>
      </c>
      <c r="B15" s="246" t="s">
        <v>157</v>
      </c>
      <c r="C15" s="302">
        <v>0</v>
      </c>
      <c r="D15" s="302">
        <f>20000000*70%</f>
        <v>14000000</v>
      </c>
      <c r="E15" s="302">
        <f>20000000*70%</f>
        <v>14000000</v>
      </c>
      <c r="F15" s="302">
        <f>20000000*70%</f>
        <v>14000000</v>
      </c>
      <c r="G15" s="302">
        <f>20000000*70%</f>
        <v>14000000</v>
      </c>
      <c r="H15" s="302">
        <v>20000000</v>
      </c>
      <c r="I15" s="861">
        <v>40000000</v>
      </c>
      <c r="J15" s="302">
        <f t="shared" si="0"/>
        <v>20000000</v>
      </c>
    </row>
    <row r="16" spans="1:12" ht="24" customHeight="1">
      <c r="A16" s="392">
        <v>22105</v>
      </c>
      <c r="B16" s="246" t="s">
        <v>341</v>
      </c>
      <c r="C16" s="302">
        <v>0</v>
      </c>
      <c r="D16" s="302">
        <f t="shared" ref="D16:I16" si="1">57600000*70%</f>
        <v>40320000</v>
      </c>
      <c r="E16" s="302">
        <f t="shared" si="1"/>
        <v>40320000</v>
      </c>
      <c r="F16" s="302">
        <f t="shared" si="1"/>
        <v>40320000</v>
      </c>
      <c r="G16" s="302">
        <f t="shared" si="1"/>
        <v>40320000</v>
      </c>
      <c r="H16" s="302">
        <f t="shared" si="1"/>
        <v>40320000</v>
      </c>
      <c r="I16" s="861">
        <f t="shared" si="1"/>
        <v>40320000</v>
      </c>
      <c r="J16" s="302">
        <f t="shared" si="0"/>
        <v>0</v>
      </c>
    </row>
    <row r="17" spans="1:10" ht="24" customHeight="1">
      <c r="A17" s="392">
        <v>22106</v>
      </c>
      <c r="B17" s="246" t="s">
        <v>126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861">
        <v>0</v>
      </c>
      <c r="J17" s="302">
        <f t="shared" si="0"/>
        <v>0</v>
      </c>
    </row>
    <row r="18" spans="1:10" ht="24" customHeight="1">
      <c r="A18" s="392">
        <v>22107</v>
      </c>
      <c r="B18" s="246" t="s">
        <v>342</v>
      </c>
      <c r="C18" s="302">
        <v>0</v>
      </c>
      <c r="D18" s="302">
        <v>3000000</v>
      </c>
      <c r="E18" s="302">
        <v>2100000</v>
      </c>
      <c r="F18" s="302">
        <f>E18</f>
        <v>2100000</v>
      </c>
      <c r="G18" s="302">
        <f>F18</f>
        <v>2100000</v>
      </c>
      <c r="H18" s="302">
        <v>50000000</v>
      </c>
      <c r="I18" s="861">
        <v>50000000</v>
      </c>
      <c r="J18" s="302">
        <f t="shared" si="0"/>
        <v>0</v>
      </c>
    </row>
    <row r="19" spans="1:10" ht="24" customHeight="1">
      <c r="A19" s="392">
        <v>22108</v>
      </c>
      <c r="B19" s="246" t="s">
        <v>547</v>
      </c>
      <c r="C19" s="302"/>
      <c r="D19" s="302"/>
      <c r="E19" s="302"/>
      <c r="F19" s="302"/>
      <c r="G19" s="302">
        <v>0</v>
      </c>
      <c r="H19" s="302">
        <v>30000000</v>
      </c>
      <c r="I19" s="861">
        <v>30000000</v>
      </c>
      <c r="J19" s="302">
        <f t="shared" si="0"/>
        <v>0</v>
      </c>
    </row>
    <row r="20" spans="1:10" ht="24" customHeight="1">
      <c r="A20" s="392">
        <v>22109</v>
      </c>
      <c r="B20" s="246" t="s">
        <v>136</v>
      </c>
      <c r="C20" s="303" t="e">
        <f>SUM(C9:C18)</f>
        <v>#REF!</v>
      </c>
      <c r="D20" s="302">
        <v>1000000</v>
      </c>
      <c r="E20" s="302">
        <v>1000000</v>
      </c>
      <c r="F20" s="302">
        <v>1000000</v>
      </c>
      <c r="G20" s="302">
        <v>1000000</v>
      </c>
      <c r="H20" s="302">
        <v>10000000</v>
      </c>
      <c r="I20" s="861">
        <v>10000000</v>
      </c>
      <c r="J20" s="302">
        <f t="shared" si="0"/>
        <v>0</v>
      </c>
    </row>
    <row r="21" spans="1:10" ht="24" customHeight="1">
      <c r="A21" s="392">
        <v>22112</v>
      </c>
      <c r="B21" s="246" t="s">
        <v>35</v>
      </c>
      <c r="C21" s="303"/>
      <c r="D21" s="302">
        <v>3000000</v>
      </c>
      <c r="E21" s="302">
        <v>13000000</v>
      </c>
      <c r="F21" s="302">
        <v>13000000</v>
      </c>
      <c r="G21" s="302">
        <v>13000000</v>
      </c>
      <c r="H21" s="302">
        <v>13000000</v>
      </c>
      <c r="I21" s="861">
        <v>13000000</v>
      </c>
      <c r="J21" s="302">
        <f t="shared" si="0"/>
        <v>0</v>
      </c>
    </row>
    <row r="22" spans="1:10" ht="24" customHeight="1">
      <c r="A22" s="392">
        <v>22129</v>
      </c>
      <c r="B22" s="246" t="s">
        <v>143</v>
      </c>
      <c r="C22" s="302">
        <v>0</v>
      </c>
      <c r="D22" s="302">
        <v>1000000</v>
      </c>
      <c r="E22" s="302">
        <v>0</v>
      </c>
      <c r="F22" s="302">
        <v>0</v>
      </c>
      <c r="G22" s="302">
        <v>0</v>
      </c>
      <c r="H22" s="302">
        <v>0</v>
      </c>
      <c r="I22" s="861">
        <v>0</v>
      </c>
      <c r="J22" s="302">
        <f t="shared" si="0"/>
        <v>0</v>
      </c>
    </row>
    <row r="23" spans="1:10" ht="24" customHeight="1">
      <c r="A23" s="392">
        <v>22137</v>
      </c>
      <c r="B23" s="246" t="s">
        <v>546</v>
      </c>
      <c r="C23" s="302"/>
      <c r="D23" s="302"/>
      <c r="E23" s="302">
        <v>20000000</v>
      </c>
      <c r="F23" s="302">
        <v>20000000</v>
      </c>
      <c r="G23" s="302">
        <v>20000000</v>
      </c>
      <c r="H23" s="302">
        <v>70000000</v>
      </c>
      <c r="I23" s="861">
        <v>220000000</v>
      </c>
      <c r="J23" s="302">
        <f t="shared" si="0"/>
        <v>150000000</v>
      </c>
    </row>
    <row r="24" spans="1:10" ht="24" customHeight="1">
      <c r="A24" s="392">
        <v>22168</v>
      </c>
      <c r="B24" s="246" t="s">
        <v>827</v>
      </c>
      <c r="C24" s="302">
        <v>0</v>
      </c>
      <c r="D24" s="302">
        <f>20000000*70%</f>
        <v>14000000</v>
      </c>
      <c r="E24" s="302">
        <v>50000000</v>
      </c>
      <c r="F24" s="302">
        <v>180000000</v>
      </c>
      <c r="G24" s="302">
        <v>220000000</v>
      </c>
      <c r="H24" s="302">
        <v>300000000</v>
      </c>
      <c r="I24" s="861">
        <v>450000000</v>
      </c>
      <c r="J24" s="302">
        <f t="shared" si="0"/>
        <v>150000000</v>
      </c>
    </row>
    <row r="25" spans="1:10" ht="24" customHeight="1">
      <c r="A25" s="392"/>
      <c r="B25" s="280" t="s">
        <v>92</v>
      </c>
      <c r="C25" s="302">
        <v>0</v>
      </c>
      <c r="D25" s="303">
        <f t="shared" ref="D25:I25" si="2">SUM(D12:D24)</f>
        <v>122320000</v>
      </c>
      <c r="E25" s="303">
        <f t="shared" si="2"/>
        <v>185420000</v>
      </c>
      <c r="F25" s="303">
        <f t="shared" si="2"/>
        <v>335420000</v>
      </c>
      <c r="G25" s="303">
        <f t="shared" si="2"/>
        <v>375420000</v>
      </c>
      <c r="H25" s="303">
        <f t="shared" si="2"/>
        <v>598320000</v>
      </c>
      <c r="I25" s="863">
        <f t="shared" si="2"/>
        <v>918320000</v>
      </c>
      <c r="J25" s="303">
        <f t="shared" si="0"/>
        <v>320000000</v>
      </c>
    </row>
    <row r="26" spans="1:10" ht="24" customHeight="1">
      <c r="A26" s="476">
        <v>2220</v>
      </c>
      <c r="B26" s="280" t="s">
        <v>240</v>
      </c>
      <c r="C26" s="302">
        <v>0</v>
      </c>
      <c r="D26" s="303"/>
      <c r="E26" s="303"/>
      <c r="F26" s="303"/>
      <c r="G26" s="303"/>
      <c r="H26" s="303"/>
      <c r="I26" s="863"/>
      <c r="J26" s="302">
        <f t="shared" si="0"/>
        <v>0</v>
      </c>
    </row>
    <row r="27" spans="1:10" ht="24" customHeight="1">
      <c r="A27" s="392">
        <v>22201</v>
      </c>
      <c r="B27" s="246" t="s">
        <v>343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861">
        <v>0</v>
      </c>
      <c r="J27" s="302">
        <f t="shared" si="0"/>
        <v>0</v>
      </c>
    </row>
    <row r="28" spans="1:10" ht="24" customHeight="1">
      <c r="A28" s="392">
        <v>22202</v>
      </c>
      <c r="B28" s="246" t="s">
        <v>133</v>
      </c>
      <c r="C28" s="302">
        <v>0</v>
      </c>
      <c r="D28" s="302">
        <f>121600000*70%</f>
        <v>85120000</v>
      </c>
      <c r="E28" s="302">
        <v>125120000</v>
      </c>
      <c r="F28" s="302">
        <v>185120000</v>
      </c>
      <c r="G28" s="302">
        <v>185120000</v>
      </c>
      <c r="H28" s="302">
        <v>215120000</v>
      </c>
      <c r="I28" s="861">
        <v>215120000</v>
      </c>
      <c r="J28" s="302">
        <f t="shared" si="0"/>
        <v>0</v>
      </c>
    </row>
    <row r="29" spans="1:10" ht="24" customHeight="1">
      <c r="A29" s="392">
        <v>22203</v>
      </c>
      <c r="B29" s="246" t="s">
        <v>127</v>
      </c>
      <c r="C29" s="303">
        <v>0</v>
      </c>
      <c r="D29" s="302">
        <f>15000000*70%</f>
        <v>10500000</v>
      </c>
      <c r="E29" s="302">
        <f>15000000*70%</f>
        <v>10500000</v>
      </c>
      <c r="F29" s="302">
        <f>15000000*70%</f>
        <v>10500000</v>
      </c>
      <c r="G29" s="302">
        <f>15000000*70%</f>
        <v>10500000</v>
      </c>
      <c r="H29" s="302">
        <v>21000000</v>
      </c>
      <c r="I29" s="861">
        <v>21000000</v>
      </c>
      <c r="J29" s="302">
        <f t="shared" si="0"/>
        <v>0</v>
      </c>
    </row>
    <row r="30" spans="1:10" ht="24" customHeight="1">
      <c r="A30" s="392">
        <v>22204</v>
      </c>
      <c r="B30" s="246" t="s">
        <v>128</v>
      </c>
      <c r="C30" s="303"/>
      <c r="D30" s="302">
        <v>3000000</v>
      </c>
      <c r="E30" s="302">
        <v>3000000</v>
      </c>
      <c r="F30" s="302">
        <v>3000000</v>
      </c>
      <c r="G30" s="302">
        <v>3000000</v>
      </c>
      <c r="H30" s="302">
        <v>3000000</v>
      </c>
      <c r="I30" s="861">
        <v>3000000</v>
      </c>
      <c r="J30" s="302">
        <f t="shared" si="0"/>
        <v>0</v>
      </c>
    </row>
    <row r="31" spans="1:10" ht="24" customHeight="1">
      <c r="A31" s="392">
        <v>22208</v>
      </c>
      <c r="B31" s="246" t="s">
        <v>336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861">
        <v>0</v>
      </c>
      <c r="J31" s="302">
        <f t="shared" si="0"/>
        <v>0</v>
      </c>
    </row>
    <row r="32" spans="1:10" ht="24" customHeight="1">
      <c r="A32" s="392"/>
      <c r="B32" s="280" t="s">
        <v>92</v>
      </c>
      <c r="C32" s="302">
        <v>0</v>
      </c>
      <c r="D32" s="303">
        <f t="shared" ref="D32:I32" si="3">SUM(D27:D31)</f>
        <v>98620000</v>
      </c>
      <c r="E32" s="303">
        <f t="shared" si="3"/>
        <v>138620000</v>
      </c>
      <c r="F32" s="303">
        <f t="shared" si="3"/>
        <v>198620000</v>
      </c>
      <c r="G32" s="303">
        <f t="shared" si="3"/>
        <v>198620000</v>
      </c>
      <c r="H32" s="303">
        <f t="shared" si="3"/>
        <v>239120000</v>
      </c>
      <c r="I32" s="863">
        <f t="shared" si="3"/>
        <v>239120000</v>
      </c>
      <c r="J32" s="303">
        <f t="shared" si="0"/>
        <v>0</v>
      </c>
    </row>
    <row r="33" spans="1:10" ht="24" customHeight="1">
      <c r="A33" s="476">
        <v>2230</v>
      </c>
      <c r="B33" s="280" t="s">
        <v>130</v>
      </c>
      <c r="C33" s="303"/>
      <c r="D33" s="303"/>
      <c r="E33" s="303"/>
      <c r="F33" s="303"/>
      <c r="G33" s="303"/>
      <c r="H33" s="303"/>
      <c r="I33" s="863"/>
      <c r="J33" s="302">
        <f t="shared" si="0"/>
        <v>0</v>
      </c>
    </row>
    <row r="34" spans="1:10" ht="24" customHeight="1">
      <c r="A34" s="392">
        <v>22301</v>
      </c>
      <c r="B34" s="246" t="s">
        <v>49</v>
      </c>
      <c r="C34" s="302">
        <v>0</v>
      </c>
      <c r="D34" s="302">
        <f>32400000*70%</f>
        <v>22680000</v>
      </c>
      <c r="E34" s="302">
        <f>32400000*70%</f>
        <v>22680000</v>
      </c>
      <c r="F34" s="302">
        <f>32400000*70%</f>
        <v>22680000</v>
      </c>
      <c r="G34" s="302">
        <v>32680000</v>
      </c>
      <c r="H34" s="302">
        <v>50000000</v>
      </c>
      <c r="I34" s="861">
        <v>50000000</v>
      </c>
      <c r="J34" s="302">
        <f t="shared" si="0"/>
        <v>0</v>
      </c>
    </row>
    <row r="35" spans="1:10" ht="24" customHeight="1">
      <c r="A35" s="392">
        <v>22302</v>
      </c>
      <c r="B35" s="246" t="s">
        <v>249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861">
        <v>0</v>
      </c>
      <c r="J35" s="302">
        <f t="shared" si="0"/>
        <v>0</v>
      </c>
    </row>
    <row r="36" spans="1:10" ht="24" customHeight="1">
      <c r="A36" s="392"/>
      <c r="B36" s="280" t="s">
        <v>92</v>
      </c>
      <c r="C36" s="302">
        <v>0</v>
      </c>
      <c r="D36" s="661">
        <f t="shared" ref="D36:I36" si="4">SUM(D34:D35)</f>
        <v>22680000</v>
      </c>
      <c r="E36" s="285">
        <f t="shared" si="4"/>
        <v>22680000</v>
      </c>
      <c r="F36" s="285">
        <f t="shared" si="4"/>
        <v>22680000</v>
      </c>
      <c r="G36" s="285">
        <f t="shared" si="4"/>
        <v>32680000</v>
      </c>
      <c r="H36" s="285">
        <f t="shared" si="4"/>
        <v>50000000</v>
      </c>
      <c r="I36" s="849">
        <f t="shared" si="4"/>
        <v>50000000</v>
      </c>
      <c r="J36" s="303">
        <f t="shared" si="0"/>
        <v>0</v>
      </c>
    </row>
    <row r="37" spans="1:10" ht="24" customHeight="1">
      <c r="A37" s="476">
        <v>270</v>
      </c>
      <c r="B37" s="280" t="s">
        <v>253</v>
      </c>
      <c r="C37" s="302"/>
      <c r="D37" s="662"/>
      <c r="E37" s="302"/>
      <c r="F37" s="302"/>
      <c r="G37" s="302"/>
      <c r="H37" s="302"/>
      <c r="I37" s="861"/>
      <c r="J37" s="302">
        <f t="shared" si="0"/>
        <v>0</v>
      </c>
    </row>
    <row r="38" spans="1:10" ht="24" customHeight="1">
      <c r="A38" s="476">
        <v>2710</v>
      </c>
      <c r="B38" s="280" t="s">
        <v>252</v>
      </c>
      <c r="C38" s="302"/>
      <c r="D38" s="662"/>
      <c r="E38" s="302"/>
      <c r="F38" s="302"/>
      <c r="G38" s="302"/>
      <c r="H38" s="302"/>
      <c r="I38" s="861"/>
      <c r="J38" s="302">
        <f t="shared" si="0"/>
        <v>0</v>
      </c>
    </row>
    <row r="39" spans="1:10" ht="24" customHeight="1">
      <c r="A39" s="392">
        <v>27601</v>
      </c>
      <c r="B39" s="246" t="s">
        <v>264</v>
      </c>
      <c r="C39" s="292">
        <v>0</v>
      </c>
      <c r="D39" s="485">
        <f>54000000*70%</f>
        <v>37800000</v>
      </c>
      <c r="E39" s="249">
        <v>0</v>
      </c>
      <c r="F39" s="249">
        <v>0</v>
      </c>
      <c r="G39" s="249">
        <v>20000000</v>
      </c>
      <c r="H39" s="249">
        <v>20000000</v>
      </c>
      <c r="I39" s="848">
        <v>20000000</v>
      </c>
      <c r="J39" s="302">
        <f t="shared" si="0"/>
        <v>0</v>
      </c>
    </row>
    <row r="40" spans="1:10" ht="24" customHeight="1">
      <c r="A40" s="392">
        <v>27402</v>
      </c>
      <c r="B40" s="246" t="s">
        <v>265</v>
      </c>
      <c r="C40" s="292">
        <v>0</v>
      </c>
      <c r="D40" s="485">
        <f>216000000*70%</f>
        <v>151200000</v>
      </c>
      <c r="E40" s="249"/>
      <c r="F40" s="249">
        <v>140000000</v>
      </c>
      <c r="G40" s="249">
        <v>42000000</v>
      </c>
      <c r="H40" s="249">
        <v>0</v>
      </c>
      <c r="I40" s="848">
        <v>150000000</v>
      </c>
      <c r="J40" s="302">
        <f t="shared" si="0"/>
        <v>150000000</v>
      </c>
    </row>
    <row r="41" spans="1:10" ht="24" customHeight="1">
      <c r="A41" s="392">
        <v>27502</v>
      </c>
      <c r="B41" s="246" t="s">
        <v>148</v>
      </c>
      <c r="C41" s="302">
        <v>0</v>
      </c>
      <c r="D41" s="582">
        <f>10000000*70%</f>
        <v>7000000</v>
      </c>
      <c r="E41" s="249">
        <v>0</v>
      </c>
      <c r="F41" s="249">
        <v>0</v>
      </c>
      <c r="G41" s="249">
        <v>0</v>
      </c>
      <c r="H41" s="249">
        <v>0</v>
      </c>
      <c r="I41" s="848">
        <v>0</v>
      </c>
      <c r="J41" s="302">
        <f t="shared" si="0"/>
        <v>0</v>
      </c>
    </row>
    <row r="42" spans="1:10" ht="24" customHeight="1">
      <c r="A42" s="392">
        <v>27604</v>
      </c>
      <c r="B42" s="246" t="s">
        <v>149</v>
      </c>
      <c r="C42" s="302">
        <v>0</v>
      </c>
      <c r="D42" s="582">
        <f>5000000*70%</f>
        <v>3500000</v>
      </c>
      <c r="E42" s="249">
        <v>0</v>
      </c>
      <c r="F42" s="249">
        <v>0</v>
      </c>
      <c r="G42" s="249">
        <v>0</v>
      </c>
      <c r="H42" s="249">
        <v>0</v>
      </c>
      <c r="I42" s="848">
        <v>0</v>
      </c>
      <c r="J42" s="302">
        <f t="shared" si="0"/>
        <v>0</v>
      </c>
    </row>
    <row r="43" spans="1:10" ht="24" customHeight="1">
      <c r="A43" s="392">
        <v>27608</v>
      </c>
      <c r="B43" s="246" t="s">
        <v>1261</v>
      </c>
      <c r="C43" s="302"/>
      <c r="D43" s="582"/>
      <c r="E43" s="249"/>
      <c r="F43" s="249"/>
      <c r="G43" s="249">
        <v>0</v>
      </c>
      <c r="H43" s="249">
        <v>1000000000</v>
      </c>
      <c r="I43" s="848">
        <v>1000000000</v>
      </c>
      <c r="J43" s="302">
        <f t="shared" si="0"/>
        <v>0</v>
      </c>
    </row>
    <row r="44" spans="1:10" ht="24" customHeight="1">
      <c r="A44" s="392"/>
      <c r="B44" s="280" t="s">
        <v>92</v>
      </c>
      <c r="C44" s="292">
        <f t="shared" ref="C44:F44" si="5">SUM(C39:C42)</f>
        <v>0</v>
      </c>
      <c r="D44" s="291">
        <f t="shared" si="5"/>
        <v>199500000</v>
      </c>
      <c r="E44" s="280">
        <f t="shared" si="5"/>
        <v>0</v>
      </c>
      <c r="F44" s="280">
        <f t="shared" si="5"/>
        <v>140000000</v>
      </c>
      <c r="G44" s="280">
        <f>SUM(G39:G43)</f>
        <v>62000000</v>
      </c>
      <c r="H44" s="280">
        <f>SUM(H39:H43)</f>
        <v>1020000000</v>
      </c>
      <c r="I44" s="851">
        <f>SUM(I39:I43)</f>
        <v>1170000000</v>
      </c>
      <c r="J44" s="303">
        <f t="shared" si="0"/>
        <v>150000000</v>
      </c>
    </row>
    <row r="45" spans="1:10" ht="24" customHeight="1">
      <c r="A45" s="476">
        <v>2720</v>
      </c>
      <c r="B45" s="280" t="s">
        <v>502</v>
      </c>
      <c r="C45" s="292"/>
      <c r="D45" s="291"/>
      <c r="E45" s="280"/>
      <c r="F45" s="280"/>
      <c r="G45" s="280"/>
      <c r="H45" s="280"/>
      <c r="I45" s="851"/>
      <c r="J45" s="302">
        <f t="shared" si="0"/>
        <v>0</v>
      </c>
    </row>
    <row r="46" spans="1:10" ht="24" customHeight="1">
      <c r="A46" s="392">
        <v>27202</v>
      </c>
      <c r="B46" s="246" t="s">
        <v>1396</v>
      </c>
      <c r="C46" s="292"/>
      <c r="D46" s="291"/>
      <c r="E46" s="280"/>
      <c r="F46" s="280"/>
      <c r="G46" s="280">
        <v>0</v>
      </c>
      <c r="H46" s="246">
        <v>200000000</v>
      </c>
      <c r="I46" s="840">
        <v>0</v>
      </c>
      <c r="J46" s="302">
        <f t="shared" si="0"/>
        <v>-200000000</v>
      </c>
    </row>
    <row r="47" spans="1:10" ht="24" customHeight="1">
      <c r="A47" s="392"/>
      <c r="B47" s="280" t="s">
        <v>92</v>
      </c>
      <c r="C47" s="292"/>
      <c r="D47" s="291"/>
      <c r="E47" s="280"/>
      <c r="F47" s="280"/>
      <c r="G47" s="280">
        <f>SUM(G46)</f>
        <v>0</v>
      </c>
      <c r="H47" s="280">
        <f>SUM(H46)</f>
        <v>200000000</v>
      </c>
      <c r="I47" s="851">
        <f>SUM(I46)</f>
        <v>0</v>
      </c>
      <c r="J47" s="303">
        <f t="shared" si="0"/>
        <v>-200000000</v>
      </c>
    </row>
    <row r="48" spans="1:10" s="493" customFormat="1" ht="24" customHeight="1">
      <c r="A48" s="476">
        <v>2810</v>
      </c>
      <c r="B48" s="280" t="s">
        <v>1242</v>
      </c>
      <c r="C48" s="478"/>
      <c r="D48" s="291"/>
      <c r="E48" s="280"/>
      <c r="F48" s="280"/>
      <c r="G48" s="280"/>
      <c r="H48" s="280"/>
      <c r="I48" s="851"/>
      <c r="J48" s="302">
        <f t="shared" si="0"/>
        <v>0</v>
      </c>
    </row>
    <row r="49" spans="1:10" ht="24" customHeight="1">
      <c r="A49" s="392">
        <v>28102</v>
      </c>
      <c r="B49" s="246" t="s">
        <v>509</v>
      </c>
      <c r="C49" s="292"/>
      <c r="D49" s="291"/>
      <c r="E49" s="280"/>
      <c r="F49" s="280"/>
      <c r="G49" s="302">
        <v>117000000</v>
      </c>
      <c r="H49" s="302">
        <v>0</v>
      </c>
      <c r="I49" s="861">
        <v>0</v>
      </c>
      <c r="J49" s="302">
        <f t="shared" si="0"/>
        <v>0</v>
      </c>
    </row>
    <row r="50" spans="1:10" s="493" customFormat="1" ht="24" customHeight="1">
      <c r="A50" s="476"/>
      <c r="B50" s="280" t="s">
        <v>92</v>
      </c>
      <c r="C50" s="478"/>
      <c r="D50" s="291"/>
      <c r="E50" s="280"/>
      <c r="F50" s="280"/>
      <c r="G50" s="303">
        <f>SUM(G49)</f>
        <v>117000000</v>
      </c>
      <c r="H50" s="303">
        <f>SUM(H49)</f>
        <v>0</v>
      </c>
      <c r="I50" s="863">
        <f>SUM(I49)</f>
        <v>0</v>
      </c>
      <c r="J50" s="303">
        <f t="shared" si="0"/>
        <v>0</v>
      </c>
    </row>
    <row r="51" spans="1:10" ht="24" customHeight="1">
      <c r="A51" s="392"/>
      <c r="B51" s="280" t="s">
        <v>37</v>
      </c>
      <c r="C51" s="478">
        <v>0</v>
      </c>
      <c r="D51" s="279">
        <f>D44+D36+D32+D25+D9</f>
        <v>1091312000</v>
      </c>
      <c r="E51" s="280">
        <f>E44+E36+E32+E25+E9</f>
        <v>1045223200</v>
      </c>
      <c r="F51" s="280">
        <f>F44+F36+F32+F25+F9</f>
        <v>1642392000</v>
      </c>
      <c r="G51" s="280">
        <f>G44+G36+G32+G25+G9+G50+G47</f>
        <v>1813610240</v>
      </c>
      <c r="H51" s="280">
        <f>H44+H36+H32+H25+H9+H50+H47</f>
        <v>3417823680</v>
      </c>
      <c r="I51" s="851">
        <f>I44+I36+I32+I25+I9+I50+I47</f>
        <v>3914365632</v>
      </c>
      <c r="J51" s="303">
        <f t="shared" si="0"/>
        <v>496541952</v>
      </c>
    </row>
    <row r="52" spans="1:10" ht="24" customHeight="1">
      <c r="B52" s="532"/>
    </row>
    <row r="53" spans="1:10" ht="24" customHeight="1">
      <c r="B53" s="532"/>
    </row>
    <row r="54" spans="1:10" ht="24" customHeight="1">
      <c r="B54" s="532"/>
    </row>
    <row r="55" spans="1:10" ht="24" customHeight="1">
      <c r="B55" s="532"/>
    </row>
  </sheetData>
  <pageMargins left="0.7" right="0.25" top="0.81" bottom="0.48" header="0.31" footer="0.17"/>
  <pageSetup scale="55" orientation="portrait" r:id="rId1"/>
  <headerFooter>
    <oddHeader>&amp;C&amp;"Algerian,Bold"&amp;36HAY'ADdA DHAWRISTA TAYADA</oddHeader>
    <oddFooter>&amp;R&amp;"Times New Roman,Bold"&amp;14 55</oddFooter>
  </headerFooter>
  <ignoredErrors>
    <ignoredError sqref="C9" formulaRange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view="pageBreakPreview" topLeftCell="A28" zoomScale="51" zoomScaleSheetLayoutView="51" workbookViewId="0">
      <selection activeCell="P48" sqref="P48"/>
    </sheetView>
  </sheetViews>
  <sheetFormatPr defaultRowHeight="30" customHeight="1"/>
  <cols>
    <col min="1" max="1" width="18.1640625" style="399" bestFit="1" customWidth="1"/>
    <col min="2" max="2" width="115.33203125" style="399" customWidth="1"/>
    <col min="3" max="9" width="9.33203125" style="399" hidden="1" customWidth="1"/>
    <col min="10" max="10" width="0.1640625" style="399" hidden="1" customWidth="1"/>
    <col min="11" max="11" width="20.5" style="399" hidden="1" customWidth="1"/>
    <col min="12" max="12" width="0.1640625" style="561" hidden="1" customWidth="1"/>
    <col min="13" max="13" width="31.5" style="561" hidden="1" customWidth="1"/>
    <col min="14" max="14" width="0.1640625" style="561" customWidth="1"/>
    <col min="15" max="17" width="31.5" style="561" customWidth="1"/>
    <col min="18" max="16384" width="9.33203125" style="399"/>
  </cols>
  <sheetData>
    <row r="1" spans="1:17" ht="30" customHeight="1">
      <c r="A1" s="663" t="s">
        <v>39</v>
      </c>
      <c r="B1" s="664" t="s">
        <v>1026</v>
      </c>
      <c r="C1" s="665"/>
      <c r="D1" s="665"/>
      <c r="E1" s="665"/>
      <c r="F1" s="665"/>
      <c r="G1" s="665"/>
      <c r="H1" s="665"/>
      <c r="I1" s="665"/>
      <c r="J1" s="665"/>
      <c r="K1" s="665"/>
      <c r="L1" s="297"/>
      <c r="M1" s="297"/>
      <c r="N1" s="297"/>
      <c r="O1" s="297"/>
      <c r="P1" s="297"/>
      <c r="Q1" s="297"/>
    </row>
    <row r="2" spans="1:17" ht="30" customHeight="1">
      <c r="A2" s="666" t="s">
        <v>25</v>
      </c>
      <c r="B2" s="667" t="s">
        <v>26</v>
      </c>
      <c r="C2" s="668" t="s">
        <v>43</v>
      </c>
      <c r="D2" s="668" t="s">
        <v>46</v>
      </c>
      <c r="E2" s="668" t="s">
        <v>55</v>
      </c>
      <c r="F2" s="668" t="s">
        <v>62</v>
      </c>
      <c r="G2" s="668" t="s">
        <v>101</v>
      </c>
      <c r="H2" s="668" t="s">
        <v>107</v>
      </c>
      <c r="I2" s="668" t="s">
        <v>118</v>
      </c>
      <c r="J2" s="668" t="s">
        <v>151</v>
      </c>
      <c r="K2" s="668" t="s">
        <v>257</v>
      </c>
      <c r="L2" s="669" t="s">
        <v>814</v>
      </c>
      <c r="M2" s="669" t="s">
        <v>874</v>
      </c>
      <c r="N2" s="669" t="s">
        <v>973</v>
      </c>
      <c r="O2" s="669" t="s">
        <v>1160</v>
      </c>
      <c r="P2" s="669" t="s">
        <v>1320</v>
      </c>
      <c r="Q2" s="669" t="s">
        <v>56</v>
      </c>
    </row>
    <row r="3" spans="1:17" ht="30" customHeight="1">
      <c r="A3" s="666">
        <v>210</v>
      </c>
      <c r="B3" s="297" t="s">
        <v>137</v>
      </c>
      <c r="C3" s="665"/>
      <c r="D3" s="665"/>
      <c r="E3" s="665"/>
      <c r="F3" s="665"/>
      <c r="G3" s="665"/>
      <c r="H3" s="665"/>
      <c r="I3" s="665"/>
      <c r="J3" s="665"/>
      <c r="K3" s="665"/>
      <c r="L3" s="297"/>
      <c r="M3" s="297"/>
      <c r="N3" s="297"/>
      <c r="O3" s="297"/>
      <c r="P3" s="297"/>
      <c r="Q3" s="297"/>
    </row>
    <row r="4" spans="1:17" ht="30" customHeight="1">
      <c r="A4" s="666">
        <v>2110</v>
      </c>
      <c r="B4" s="297" t="s">
        <v>213</v>
      </c>
      <c r="C4" s="670">
        <v>0</v>
      </c>
      <c r="D4" s="670">
        <v>45168000</v>
      </c>
      <c r="E4" s="670">
        <v>82272000</v>
      </c>
      <c r="F4" s="670">
        <v>82272000</v>
      </c>
      <c r="G4" s="670">
        <v>167590800</v>
      </c>
      <c r="H4" s="670">
        <f>135236400+4149600+27000000+3000000</f>
        <v>169386000</v>
      </c>
      <c r="I4" s="670">
        <f>169386000+6000000+4149600</f>
        <v>179535600</v>
      </c>
      <c r="J4" s="670"/>
      <c r="K4" s="670"/>
      <c r="L4" s="296"/>
      <c r="M4" s="296"/>
      <c r="N4" s="296"/>
      <c r="O4" s="296"/>
      <c r="P4" s="296"/>
      <c r="Q4" s="296"/>
    </row>
    <row r="5" spans="1:17" ht="30" customHeight="1">
      <c r="A5" s="671">
        <v>21101</v>
      </c>
      <c r="B5" s="296" t="s">
        <v>28</v>
      </c>
      <c r="C5" s="670">
        <v>0</v>
      </c>
      <c r="D5" s="670">
        <v>24500000</v>
      </c>
      <c r="E5" s="670">
        <v>0</v>
      </c>
      <c r="F5" s="670">
        <v>0</v>
      </c>
      <c r="G5" s="670">
        <v>0</v>
      </c>
      <c r="H5" s="670">
        <v>0</v>
      </c>
      <c r="I5" s="670">
        <v>0</v>
      </c>
      <c r="J5" s="670">
        <v>0</v>
      </c>
      <c r="K5" s="670">
        <v>248570400</v>
      </c>
      <c r="L5" s="296">
        <v>156218400</v>
      </c>
      <c r="M5" s="296">
        <v>226324800</v>
      </c>
      <c r="N5" s="296">
        <v>234000000</v>
      </c>
      <c r="O5" s="296">
        <v>234000000</v>
      </c>
      <c r="P5" s="296">
        <v>425430720</v>
      </c>
      <c r="Q5" s="296">
        <f>P5-O5</f>
        <v>191430720</v>
      </c>
    </row>
    <row r="6" spans="1:17" ht="30" customHeight="1">
      <c r="A6" s="671">
        <v>21102</v>
      </c>
      <c r="B6" s="296" t="s">
        <v>804</v>
      </c>
      <c r="C6" s="296">
        <v>0</v>
      </c>
      <c r="D6" s="296">
        <v>10800000</v>
      </c>
      <c r="E6" s="296">
        <v>14400000</v>
      </c>
      <c r="F6" s="296">
        <v>14400000</v>
      </c>
      <c r="G6" s="296">
        <v>14400000</v>
      </c>
      <c r="H6" s="296">
        <f>14400000+16200000+720000</f>
        <v>31320000</v>
      </c>
      <c r="I6" s="296">
        <f>31320000+720000+3960000</f>
        <v>36000000</v>
      </c>
      <c r="J6" s="670">
        <v>0</v>
      </c>
      <c r="K6" s="670">
        <v>0</v>
      </c>
      <c r="L6" s="296">
        <v>126000000</v>
      </c>
      <c r="M6" s="296">
        <v>276000000</v>
      </c>
      <c r="N6" s="296">
        <v>276000000</v>
      </c>
      <c r="O6" s="743">
        <v>114000000</v>
      </c>
      <c r="P6" s="743">
        <v>114000000</v>
      </c>
      <c r="Q6" s="296">
        <f t="shared" ref="Q6:Q48" si="0">P6-O6</f>
        <v>0</v>
      </c>
    </row>
    <row r="7" spans="1:17" ht="30" customHeight="1">
      <c r="A7" s="671">
        <v>21103</v>
      </c>
      <c r="B7" s="296" t="s">
        <v>30</v>
      </c>
      <c r="C7" s="297">
        <v>0</v>
      </c>
      <c r="D7" s="297">
        <f>SUM(D4:D6)</f>
        <v>80468000</v>
      </c>
      <c r="E7" s="297">
        <f>SUM(E4:E6)</f>
        <v>96672000</v>
      </c>
      <c r="F7" s="297">
        <f>SUM(F4:F6)</f>
        <v>96672000</v>
      </c>
      <c r="G7" s="297">
        <f>SUM(G4:G6)</f>
        <v>181990800</v>
      </c>
      <c r="H7" s="297">
        <f>SUM(H4:H6)</f>
        <v>200706000</v>
      </c>
      <c r="I7" s="296">
        <v>0</v>
      </c>
      <c r="J7" s="296">
        <v>0</v>
      </c>
      <c r="K7" s="296">
        <v>172800000</v>
      </c>
      <c r="L7" s="296">
        <v>140400000</v>
      </c>
      <c r="M7" s="296">
        <v>306000000</v>
      </c>
      <c r="N7" s="296">
        <v>324000000</v>
      </c>
      <c r="O7" s="743">
        <v>234000000</v>
      </c>
      <c r="P7" s="909">
        <v>324000000</v>
      </c>
      <c r="Q7" s="296">
        <f t="shared" si="0"/>
        <v>90000000</v>
      </c>
    </row>
    <row r="8" spans="1:17" ht="30" customHeight="1">
      <c r="A8" s="671">
        <v>21105</v>
      </c>
      <c r="B8" s="296" t="s">
        <v>526</v>
      </c>
      <c r="C8" s="296">
        <v>0</v>
      </c>
      <c r="D8" s="296"/>
      <c r="E8" s="296"/>
      <c r="F8" s="296"/>
      <c r="G8" s="296"/>
      <c r="H8" s="296"/>
      <c r="I8" s="296">
        <v>0</v>
      </c>
      <c r="J8" s="296">
        <v>0</v>
      </c>
      <c r="K8" s="296">
        <v>148800000</v>
      </c>
      <c r="L8" s="296">
        <v>202800000</v>
      </c>
      <c r="M8" s="296">
        <v>353613600</v>
      </c>
      <c r="N8" s="296">
        <v>364893600</v>
      </c>
      <c r="O8" s="743">
        <v>310893600</v>
      </c>
      <c r="P8" s="909">
        <v>514653600</v>
      </c>
      <c r="Q8" s="296">
        <f t="shared" si="0"/>
        <v>203760000</v>
      </c>
    </row>
    <row r="9" spans="1:17" ht="30" customHeight="1">
      <c r="A9" s="671"/>
      <c r="B9" s="297" t="s">
        <v>92</v>
      </c>
      <c r="C9" s="297">
        <v>0</v>
      </c>
      <c r="D9" s="297" t="e">
        <f>SUM(#REF!)</f>
        <v>#REF!</v>
      </c>
      <c r="E9" s="297" t="e">
        <f>SUM(#REF!)</f>
        <v>#REF!</v>
      </c>
      <c r="F9" s="297" t="e">
        <f>SUM(#REF!)</f>
        <v>#REF!</v>
      </c>
      <c r="G9" s="297" t="e">
        <f>SUM(#REF!)</f>
        <v>#REF!</v>
      </c>
      <c r="H9" s="297" t="e">
        <f>SUM(#REF!)</f>
        <v>#REF!</v>
      </c>
      <c r="I9" s="296">
        <v>0</v>
      </c>
      <c r="J9" s="297">
        <f t="shared" ref="J9:M9" si="1">SUM(J5:J8)</f>
        <v>0</v>
      </c>
      <c r="K9" s="297">
        <f t="shared" si="1"/>
        <v>570170400</v>
      </c>
      <c r="L9" s="297">
        <f t="shared" si="1"/>
        <v>625418400</v>
      </c>
      <c r="M9" s="297">
        <f t="shared" si="1"/>
        <v>1161938400</v>
      </c>
      <c r="N9" s="297">
        <f>SUM(N5:N8)</f>
        <v>1198893600</v>
      </c>
      <c r="O9" s="297">
        <f>SUM(O5:O8)</f>
        <v>892893600</v>
      </c>
      <c r="P9" s="878">
        <f>SUM(P5:P8)</f>
        <v>1378084320</v>
      </c>
      <c r="Q9" s="297">
        <f t="shared" si="0"/>
        <v>485190720</v>
      </c>
    </row>
    <row r="10" spans="1:17" ht="30" customHeight="1">
      <c r="A10" s="666">
        <v>220</v>
      </c>
      <c r="B10" s="297" t="s">
        <v>225</v>
      </c>
      <c r="C10" s="296" t="s">
        <v>4</v>
      </c>
      <c r="D10" s="296"/>
      <c r="E10" s="296"/>
      <c r="F10" s="296"/>
      <c r="G10" s="296"/>
      <c r="H10" s="296"/>
      <c r="I10" s="296">
        <v>0</v>
      </c>
      <c r="J10" s="296"/>
      <c r="K10" s="296"/>
      <c r="L10" s="296"/>
      <c r="M10" s="296"/>
      <c r="N10" s="296"/>
      <c r="O10" s="296"/>
      <c r="P10" s="876"/>
      <c r="Q10" s="296">
        <f t="shared" si="0"/>
        <v>0</v>
      </c>
    </row>
    <row r="11" spans="1:17" ht="30" customHeight="1">
      <c r="A11" s="666">
        <v>2210</v>
      </c>
      <c r="B11" s="297" t="s">
        <v>226</v>
      </c>
      <c r="C11" s="296">
        <v>0</v>
      </c>
      <c r="D11" s="296">
        <v>22600000</v>
      </c>
      <c r="E11" s="296">
        <v>0</v>
      </c>
      <c r="F11" s="296">
        <v>0</v>
      </c>
      <c r="G11" s="296">
        <v>0</v>
      </c>
      <c r="H11" s="296">
        <v>0</v>
      </c>
      <c r="I11" s="296">
        <v>7448000</v>
      </c>
      <c r="J11" s="296"/>
      <c r="K11" s="296"/>
      <c r="L11" s="296"/>
      <c r="M11" s="296"/>
      <c r="N11" s="296"/>
      <c r="O11" s="296"/>
      <c r="P11" s="876"/>
      <c r="Q11" s="296">
        <f t="shared" si="0"/>
        <v>0</v>
      </c>
    </row>
    <row r="12" spans="1:17" ht="30" customHeight="1">
      <c r="A12" s="671">
        <v>22101</v>
      </c>
      <c r="B12" s="296" t="s">
        <v>33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7448000</v>
      </c>
      <c r="J12" s="296">
        <v>0</v>
      </c>
      <c r="K12" s="296">
        <f>40000000*70%</f>
        <v>28000000</v>
      </c>
      <c r="L12" s="296">
        <f>40000000*70%</f>
        <v>28000000</v>
      </c>
      <c r="M12" s="296">
        <v>84200000</v>
      </c>
      <c r="N12" s="296">
        <v>84200000</v>
      </c>
      <c r="O12" s="296">
        <v>84200000</v>
      </c>
      <c r="P12" s="876">
        <v>84200000</v>
      </c>
      <c r="Q12" s="296">
        <f t="shared" si="0"/>
        <v>0</v>
      </c>
    </row>
    <row r="13" spans="1:17" ht="30" customHeight="1">
      <c r="A13" s="671">
        <v>22102</v>
      </c>
      <c r="B13" s="296" t="s">
        <v>355</v>
      </c>
      <c r="C13" s="296"/>
      <c r="D13" s="296"/>
      <c r="E13" s="296"/>
      <c r="F13" s="296"/>
      <c r="G13" s="296"/>
      <c r="H13" s="296"/>
      <c r="I13" s="296"/>
      <c r="J13" s="296">
        <v>0</v>
      </c>
      <c r="K13" s="296">
        <v>26200000</v>
      </c>
      <c r="L13" s="296">
        <v>26200000</v>
      </c>
      <c r="M13" s="296">
        <v>0</v>
      </c>
      <c r="N13" s="296">
        <v>0</v>
      </c>
      <c r="O13" s="296">
        <v>0</v>
      </c>
      <c r="P13" s="876">
        <v>0</v>
      </c>
      <c r="Q13" s="296">
        <f t="shared" si="0"/>
        <v>0</v>
      </c>
    </row>
    <row r="14" spans="1:17" ht="30" customHeight="1">
      <c r="A14" s="671">
        <v>22103</v>
      </c>
      <c r="B14" s="296" t="s">
        <v>125</v>
      </c>
      <c r="C14" s="296"/>
      <c r="D14" s="296"/>
      <c r="E14" s="296"/>
      <c r="F14" s="296"/>
      <c r="G14" s="296"/>
      <c r="H14" s="296"/>
      <c r="I14" s="296"/>
      <c r="J14" s="296">
        <v>0</v>
      </c>
      <c r="K14" s="296">
        <v>64000000</v>
      </c>
      <c r="L14" s="296"/>
      <c r="M14" s="296"/>
      <c r="N14" s="296"/>
      <c r="O14" s="296"/>
      <c r="P14" s="876"/>
      <c r="Q14" s="296">
        <f t="shared" si="0"/>
        <v>0</v>
      </c>
    </row>
    <row r="15" spans="1:17" ht="30" customHeight="1">
      <c r="A15" s="671">
        <v>22104</v>
      </c>
      <c r="B15" s="296" t="s">
        <v>157</v>
      </c>
      <c r="C15" s="296"/>
      <c r="D15" s="296"/>
      <c r="E15" s="296"/>
      <c r="F15" s="296"/>
      <c r="G15" s="296"/>
      <c r="H15" s="296"/>
      <c r="I15" s="296">
        <v>37240000</v>
      </c>
      <c r="J15" s="296">
        <v>0</v>
      </c>
      <c r="K15" s="296">
        <f t="shared" ref="K15:O15" si="2">38400000*70%</f>
        <v>26880000</v>
      </c>
      <c r="L15" s="296">
        <f t="shared" si="2"/>
        <v>26880000</v>
      </c>
      <c r="M15" s="296">
        <f t="shared" si="2"/>
        <v>26880000</v>
      </c>
      <c r="N15" s="296">
        <f t="shared" si="2"/>
        <v>26880000</v>
      </c>
      <c r="O15" s="296">
        <f t="shared" si="2"/>
        <v>26880000</v>
      </c>
      <c r="P15" s="876">
        <v>52000000</v>
      </c>
      <c r="Q15" s="296">
        <f t="shared" si="0"/>
        <v>25120000</v>
      </c>
    </row>
    <row r="16" spans="1:17" ht="30" customHeight="1">
      <c r="A16" s="671">
        <v>22105</v>
      </c>
      <c r="B16" s="296" t="s">
        <v>344</v>
      </c>
      <c r="C16" s="296">
        <v>0</v>
      </c>
      <c r="D16" s="296">
        <v>4000000</v>
      </c>
      <c r="E16" s="296">
        <v>8000000</v>
      </c>
      <c r="F16" s="296">
        <v>17000000</v>
      </c>
      <c r="G16" s="296">
        <v>12661600</v>
      </c>
      <c r="H16" s="296">
        <v>25000000</v>
      </c>
      <c r="I16" s="297">
        <f>SUM(I9:I15)</f>
        <v>52136000</v>
      </c>
      <c r="J16" s="296">
        <v>0</v>
      </c>
      <c r="K16" s="296">
        <f>57000000*70%</f>
        <v>39900000</v>
      </c>
      <c r="L16" s="296">
        <v>42036000</v>
      </c>
      <c r="M16" s="296">
        <v>58850400</v>
      </c>
      <c r="N16" s="296">
        <v>58850400</v>
      </c>
      <c r="O16" s="296">
        <v>58850400</v>
      </c>
      <c r="P16" s="876">
        <v>193000000</v>
      </c>
      <c r="Q16" s="296">
        <f t="shared" si="0"/>
        <v>134149600</v>
      </c>
    </row>
    <row r="17" spans="1:17" ht="30" customHeight="1">
      <c r="A17" s="671">
        <v>22106</v>
      </c>
      <c r="B17" s="296" t="s">
        <v>1065</v>
      </c>
      <c r="C17" s="296"/>
      <c r="D17" s="296"/>
      <c r="E17" s="296"/>
      <c r="F17" s="296"/>
      <c r="G17" s="296"/>
      <c r="H17" s="296"/>
      <c r="I17" s="297"/>
      <c r="J17" s="296"/>
      <c r="K17" s="296"/>
      <c r="L17" s="296"/>
      <c r="M17" s="296">
        <v>0</v>
      </c>
      <c r="N17" s="296">
        <v>20000000</v>
      </c>
      <c r="O17" s="296">
        <v>50000000</v>
      </c>
      <c r="P17" s="876">
        <v>100000000</v>
      </c>
      <c r="Q17" s="296">
        <f t="shared" si="0"/>
        <v>50000000</v>
      </c>
    </row>
    <row r="18" spans="1:17" ht="30" customHeight="1">
      <c r="A18" s="671">
        <v>22109</v>
      </c>
      <c r="B18" s="296" t="s">
        <v>136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/>
      <c r="J18" s="296">
        <v>0</v>
      </c>
      <c r="K18" s="296">
        <f>3000000+3500000</f>
        <v>6500000</v>
      </c>
      <c r="L18" s="296">
        <f>3000000+3500000</f>
        <v>6500000</v>
      </c>
      <c r="M18" s="296">
        <f>3000000+3500000</f>
        <v>6500000</v>
      </c>
      <c r="N18" s="296">
        <f>3000000+3500000</f>
        <v>6500000</v>
      </c>
      <c r="O18" s="296">
        <v>25000000</v>
      </c>
      <c r="P18" s="876">
        <v>25000000</v>
      </c>
      <c r="Q18" s="296">
        <f t="shared" si="0"/>
        <v>0</v>
      </c>
    </row>
    <row r="19" spans="1:17" ht="30" customHeight="1">
      <c r="A19" s="671">
        <v>22112</v>
      </c>
      <c r="B19" s="296" t="s">
        <v>35</v>
      </c>
      <c r="C19" s="296" t="s">
        <v>4</v>
      </c>
      <c r="D19" s="296">
        <v>0</v>
      </c>
      <c r="E19" s="296">
        <v>0</v>
      </c>
      <c r="F19" s="296">
        <v>3000000</v>
      </c>
      <c r="G19" s="296">
        <v>2234400</v>
      </c>
      <c r="H19" s="296">
        <v>2234400</v>
      </c>
      <c r="I19" s="296">
        <v>0</v>
      </c>
      <c r="J19" s="296">
        <v>0</v>
      </c>
      <c r="K19" s="296">
        <f>24000000*70%</f>
        <v>16800000</v>
      </c>
      <c r="L19" s="296">
        <f>24000000*70%</f>
        <v>16800000</v>
      </c>
      <c r="M19" s="296">
        <v>26800000</v>
      </c>
      <c r="N19" s="296">
        <v>26800000</v>
      </c>
      <c r="O19" s="296">
        <v>26800000</v>
      </c>
      <c r="P19" s="876">
        <v>26800000</v>
      </c>
      <c r="Q19" s="296">
        <f t="shared" si="0"/>
        <v>0</v>
      </c>
    </row>
    <row r="20" spans="1:17" ht="30" customHeight="1">
      <c r="A20" s="671">
        <v>22122</v>
      </c>
      <c r="B20" s="296" t="s">
        <v>1066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>
        <v>0</v>
      </c>
      <c r="N20" s="296">
        <v>50000000</v>
      </c>
      <c r="O20" s="296">
        <v>100000000</v>
      </c>
      <c r="P20" s="876">
        <v>200000000</v>
      </c>
      <c r="Q20" s="296">
        <f t="shared" si="0"/>
        <v>100000000</v>
      </c>
    </row>
    <row r="21" spans="1:17" ht="30" customHeight="1">
      <c r="A21" s="671">
        <v>22125</v>
      </c>
      <c r="B21" s="296" t="s">
        <v>589</v>
      </c>
      <c r="C21" s="297"/>
      <c r="D21" s="297"/>
      <c r="E21" s="297"/>
      <c r="F21" s="297"/>
      <c r="G21" s="297"/>
      <c r="H21" s="297"/>
      <c r="I21" s="296"/>
      <c r="J21" s="296"/>
      <c r="K21" s="296">
        <v>0</v>
      </c>
      <c r="L21" s="296">
        <v>180000000</v>
      </c>
      <c r="M21" s="296">
        <v>230000000</v>
      </c>
      <c r="N21" s="296">
        <v>230000000</v>
      </c>
      <c r="O21" s="296">
        <v>300000000</v>
      </c>
      <c r="P21" s="876">
        <v>400000000</v>
      </c>
      <c r="Q21" s="296">
        <f t="shared" si="0"/>
        <v>100000000</v>
      </c>
    </row>
    <row r="22" spans="1:17" ht="30" customHeight="1">
      <c r="A22" s="671">
        <v>22137</v>
      </c>
      <c r="B22" s="296" t="s">
        <v>588</v>
      </c>
      <c r="C22" s="297"/>
      <c r="D22" s="297"/>
      <c r="E22" s="297"/>
      <c r="F22" s="297"/>
      <c r="G22" s="297"/>
      <c r="H22" s="297"/>
      <c r="I22" s="296"/>
      <c r="J22" s="296"/>
      <c r="K22" s="296">
        <v>0</v>
      </c>
      <c r="L22" s="296">
        <v>40000000</v>
      </c>
      <c r="M22" s="296">
        <v>50000000</v>
      </c>
      <c r="N22" s="296">
        <v>50000000</v>
      </c>
      <c r="O22" s="296">
        <v>50000000</v>
      </c>
      <c r="P22" s="876">
        <v>50000000</v>
      </c>
      <c r="Q22" s="296">
        <f t="shared" si="0"/>
        <v>0</v>
      </c>
    </row>
    <row r="23" spans="1:17" ht="30" customHeight="1">
      <c r="A23" s="671"/>
      <c r="B23" s="297" t="s">
        <v>92</v>
      </c>
      <c r="C23" s="296" t="s">
        <v>4</v>
      </c>
      <c r="D23" s="296"/>
      <c r="E23" s="296"/>
      <c r="F23" s="296"/>
      <c r="G23" s="296"/>
      <c r="H23" s="296"/>
      <c r="I23" s="296">
        <v>3724000</v>
      </c>
      <c r="J23" s="297">
        <f>SUM(J10:J19)</f>
        <v>0</v>
      </c>
      <c r="K23" s="297">
        <f>SUM(K12:K19)</f>
        <v>208280000</v>
      </c>
      <c r="L23" s="297">
        <f>SUM(L12:L22)</f>
        <v>366416000</v>
      </c>
      <c r="M23" s="297">
        <f>SUM(M12:M22)</f>
        <v>483230400</v>
      </c>
      <c r="N23" s="297">
        <f>SUM(N12:N22)</f>
        <v>553230400</v>
      </c>
      <c r="O23" s="297">
        <f>SUM(O12:O22)</f>
        <v>721730400</v>
      </c>
      <c r="P23" s="878">
        <f>SUM(P12:P22)</f>
        <v>1131000000</v>
      </c>
      <c r="Q23" s="297">
        <f t="shared" si="0"/>
        <v>409269600</v>
      </c>
    </row>
    <row r="24" spans="1:17" ht="30" customHeight="1">
      <c r="A24" s="666">
        <v>2220</v>
      </c>
      <c r="B24" s="297" t="s">
        <v>240</v>
      </c>
      <c r="C24" s="296">
        <v>0</v>
      </c>
      <c r="D24" s="296">
        <v>6000000</v>
      </c>
      <c r="E24" s="296">
        <v>7200000</v>
      </c>
      <c r="F24" s="296">
        <v>10000000</v>
      </c>
      <c r="G24" s="296">
        <v>11172000</v>
      </c>
      <c r="H24" s="296">
        <v>11172000</v>
      </c>
      <c r="I24" s="297">
        <f>SUM(I19:I23)</f>
        <v>3724000</v>
      </c>
      <c r="J24" s="297"/>
      <c r="K24" s="297"/>
      <c r="L24" s="297"/>
      <c r="M24" s="297"/>
      <c r="N24" s="297"/>
      <c r="O24" s="297"/>
      <c r="P24" s="878"/>
      <c r="Q24" s="296">
        <f t="shared" si="0"/>
        <v>0</v>
      </c>
    </row>
    <row r="25" spans="1:17" ht="30" customHeight="1">
      <c r="A25" s="671">
        <v>22202</v>
      </c>
      <c r="B25" s="296" t="s">
        <v>133</v>
      </c>
      <c r="C25" s="296">
        <v>0</v>
      </c>
      <c r="D25" s="296">
        <v>17000000</v>
      </c>
      <c r="E25" s="296">
        <v>9734400</v>
      </c>
      <c r="F25" s="296">
        <v>20000000</v>
      </c>
      <c r="G25" s="296">
        <v>18620000</v>
      </c>
      <c r="H25" s="296">
        <v>30000000</v>
      </c>
      <c r="I25" s="296"/>
      <c r="J25" s="296">
        <v>0</v>
      </c>
      <c r="K25" s="296">
        <v>62000000</v>
      </c>
      <c r="L25" s="296">
        <v>209000000</v>
      </c>
      <c r="M25" s="296">
        <v>209000000</v>
      </c>
      <c r="N25" s="296">
        <v>209000000</v>
      </c>
      <c r="O25" s="296">
        <v>209000000</v>
      </c>
      <c r="P25" s="876">
        <v>279000000</v>
      </c>
      <c r="Q25" s="296">
        <f t="shared" si="0"/>
        <v>70000000</v>
      </c>
    </row>
    <row r="26" spans="1:17" ht="30" customHeight="1">
      <c r="A26" s="671">
        <v>22203</v>
      </c>
      <c r="B26" s="296" t="s">
        <v>127</v>
      </c>
      <c r="C26" s="296">
        <v>0</v>
      </c>
      <c r="D26" s="296">
        <v>0</v>
      </c>
      <c r="E26" s="296">
        <v>14592000</v>
      </c>
      <c r="F26" s="296">
        <v>0</v>
      </c>
      <c r="G26" s="296">
        <v>0</v>
      </c>
      <c r="H26" s="296">
        <v>10000000</v>
      </c>
      <c r="I26" s="296">
        <v>0</v>
      </c>
      <c r="J26" s="296">
        <v>0</v>
      </c>
      <c r="K26" s="296">
        <f>20000000*70%</f>
        <v>14000000</v>
      </c>
      <c r="L26" s="296">
        <f>20000000*70%</f>
        <v>14000000</v>
      </c>
      <c r="M26" s="296">
        <f>20000000*70%</f>
        <v>14000000</v>
      </c>
      <c r="N26" s="296">
        <f>20000000*70%</f>
        <v>14000000</v>
      </c>
      <c r="O26" s="296">
        <v>28000000</v>
      </c>
      <c r="P26" s="876">
        <v>28000000</v>
      </c>
      <c r="Q26" s="296">
        <f t="shared" si="0"/>
        <v>0</v>
      </c>
    </row>
    <row r="27" spans="1:17" ht="30" customHeight="1">
      <c r="A27" s="671">
        <v>22204</v>
      </c>
      <c r="B27" s="296" t="s">
        <v>128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7500000</v>
      </c>
      <c r="L27" s="296">
        <v>7500000</v>
      </c>
      <c r="M27" s="296">
        <v>7500000</v>
      </c>
      <c r="N27" s="296">
        <v>7500000</v>
      </c>
      <c r="O27" s="296">
        <v>25000000</v>
      </c>
      <c r="P27" s="876">
        <v>25000000</v>
      </c>
      <c r="Q27" s="296">
        <f t="shared" si="0"/>
        <v>0</v>
      </c>
    </row>
    <row r="28" spans="1:17" ht="30" customHeight="1">
      <c r="A28" s="671">
        <v>22208</v>
      </c>
      <c r="B28" s="296" t="s">
        <v>336</v>
      </c>
      <c r="C28" s="296"/>
      <c r="D28" s="296"/>
      <c r="E28" s="296"/>
      <c r="F28" s="296"/>
      <c r="G28" s="296"/>
      <c r="H28" s="296"/>
      <c r="I28" s="296"/>
      <c r="J28" s="296">
        <v>0</v>
      </c>
      <c r="K28" s="296">
        <v>0</v>
      </c>
      <c r="L28" s="296">
        <v>0</v>
      </c>
      <c r="M28" s="296">
        <v>0</v>
      </c>
      <c r="N28" s="296">
        <v>0</v>
      </c>
      <c r="O28" s="296">
        <v>0</v>
      </c>
      <c r="P28" s="876">
        <v>0</v>
      </c>
      <c r="Q28" s="296">
        <f t="shared" si="0"/>
        <v>0</v>
      </c>
    </row>
    <row r="29" spans="1:17" ht="30" customHeight="1">
      <c r="A29" s="671"/>
      <c r="B29" s="297" t="s">
        <v>92</v>
      </c>
      <c r="C29" s="296">
        <v>0</v>
      </c>
      <c r="D29" s="296">
        <v>0</v>
      </c>
      <c r="E29" s="296"/>
      <c r="F29" s="296">
        <v>0</v>
      </c>
      <c r="G29" s="296">
        <v>0</v>
      </c>
      <c r="H29" s="296">
        <v>0</v>
      </c>
      <c r="I29" s="296">
        <v>4468800</v>
      </c>
      <c r="J29" s="297">
        <v>0</v>
      </c>
      <c r="K29" s="297">
        <f t="shared" ref="K29:P29" si="3">SUM(K25:K28)</f>
        <v>83500000</v>
      </c>
      <c r="L29" s="297">
        <f t="shared" si="3"/>
        <v>230500000</v>
      </c>
      <c r="M29" s="297">
        <f t="shared" si="3"/>
        <v>230500000</v>
      </c>
      <c r="N29" s="297">
        <f t="shared" si="3"/>
        <v>230500000</v>
      </c>
      <c r="O29" s="297">
        <f t="shared" si="3"/>
        <v>262000000</v>
      </c>
      <c r="P29" s="878">
        <f t="shared" si="3"/>
        <v>332000000</v>
      </c>
      <c r="Q29" s="297">
        <f t="shared" si="0"/>
        <v>70000000</v>
      </c>
    </row>
    <row r="30" spans="1:17" ht="30" customHeight="1">
      <c r="A30" s="666">
        <v>2230</v>
      </c>
      <c r="B30" s="297" t="s">
        <v>130</v>
      </c>
      <c r="C30" s="296">
        <v>0</v>
      </c>
      <c r="D30" s="296">
        <v>0</v>
      </c>
      <c r="E30" s="296"/>
      <c r="F30" s="296">
        <v>0</v>
      </c>
      <c r="G30" s="296">
        <v>0</v>
      </c>
      <c r="H30" s="296">
        <v>0</v>
      </c>
      <c r="I30" s="297">
        <f>SUM(I26:I29)</f>
        <v>4468800</v>
      </c>
      <c r="J30" s="297"/>
      <c r="K30" s="297"/>
      <c r="L30" s="297"/>
      <c r="M30" s="297"/>
      <c r="N30" s="297"/>
      <c r="O30" s="297"/>
      <c r="P30" s="878"/>
      <c r="Q30" s="296">
        <f t="shared" si="0"/>
        <v>0</v>
      </c>
    </row>
    <row r="31" spans="1:17" ht="30" customHeight="1">
      <c r="A31" s="671">
        <v>22301</v>
      </c>
      <c r="B31" s="296" t="s">
        <v>49</v>
      </c>
      <c r="C31" s="296">
        <v>0</v>
      </c>
      <c r="D31" s="296">
        <v>0</v>
      </c>
      <c r="E31" s="296"/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f>8000000*70%</f>
        <v>5600000</v>
      </c>
      <c r="L31" s="296">
        <v>25000000</v>
      </c>
      <c r="M31" s="296">
        <v>25000000</v>
      </c>
      <c r="N31" s="296">
        <v>25000000</v>
      </c>
      <c r="O31" s="296">
        <v>40000000</v>
      </c>
      <c r="P31" s="876">
        <v>70000000</v>
      </c>
      <c r="Q31" s="296">
        <f t="shared" si="0"/>
        <v>30000000</v>
      </c>
    </row>
    <row r="32" spans="1:17" ht="30" customHeight="1">
      <c r="A32" s="671">
        <v>22302</v>
      </c>
      <c r="B32" s="296" t="s">
        <v>249</v>
      </c>
      <c r="C32" s="296">
        <v>0</v>
      </c>
      <c r="D32" s="296">
        <v>5000000</v>
      </c>
      <c r="E32" s="296">
        <v>6400000</v>
      </c>
      <c r="F32" s="296">
        <v>10000000</v>
      </c>
      <c r="G32" s="296">
        <v>7448000</v>
      </c>
      <c r="H32" s="296">
        <v>7448000</v>
      </c>
      <c r="I32" s="296">
        <v>12661600</v>
      </c>
      <c r="J32" s="296">
        <v>0</v>
      </c>
      <c r="K32" s="296">
        <v>0</v>
      </c>
      <c r="L32" s="296">
        <v>0</v>
      </c>
      <c r="M32" s="296">
        <v>0</v>
      </c>
      <c r="N32" s="296">
        <v>0</v>
      </c>
      <c r="O32" s="296">
        <v>0</v>
      </c>
      <c r="P32" s="876">
        <v>0</v>
      </c>
      <c r="Q32" s="296">
        <f t="shared" si="0"/>
        <v>0</v>
      </c>
    </row>
    <row r="33" spans="1:17" ht="30" customHeight="1">
      <c r="A33" s="671">
        <v>22313</v>
      </c>
      <c r="B33" s="296" t="s">
        <v>251</v>
      </c>
      <c r="C33" s="296">
        <v>0</v>
      </c>
      <c r="D33" s="296">
        <v>0</v>
      </c>
      <c r="E33" s="296">
        <v>28000000</v>
      </c>
      <c r="F33" s="296">
        <v>40000000</v>
      </c>
      <c r="G33" s="296">
        <v>37240000</v>
      </c>
      <c r="H33" s="296">
        <v>75000000</v>
      </c>
      <c r="I33" s="296">
        <v>0</v>
      </c>
      <c r="J33" s="296">
        <v>0</v>
      </c>
      <c r="K33" s="296">
        <v>0</v>
      </c>
      <c r="L33" s="296">
        <v>0</v>
      </c>
      <c r="M33" s="296">
        <v>0</v>
      </c>
      <c r="N33" s="296">
        <v>0</v>
      </c>
      <c r="O33" s="296">
        <v>0</v>
      </c>
      <c r="P33" s="876">
        <v>0</v>
      </c>
      <c r="Q33" s="296">
        <f t="shared" si="0"/>
        <v>0</v>
      </c>
    </row>
    <row r="34" spans="1:17" ht="30" customHeight="1">
      <c r="A34" s="671"/>
      <c r="B34" s="297" t="s">
        <v>92</v>
      </c>
      <c r="C34" s="296"/>
      <c r="D34" s="296"/>
      <c r="E34" s="296"/>
      <c r="F34" s="296">
        <v>0</v>
      </c>
      <c r="G34" s="296">
        <v>0</v>
      </c>
      <c r="H34" s="296">
        <v>0</v>
      </c>
      <c r="I34" s="297">
        <f>SUM(I31:I33)</f>
        <v>12661600</v>
      </c>
      <c r="J34" s="297">
        <v>0</v>
      </c>
      <c r="K34" s="297">
        <f t="shared" ref="K34:P34" si="4">SUM(K31:K33)</f>
        <v>5600000</v>
      </c>
      <c r="L34" s="297">
        <f t="shared" si="4"/>
        <v>25000000</v>
      </c>
      <c r="M34" s="297">
        <f t="shared" si="4"/>
        <v>25000000</v>
      </c>
      <c r="N34" s="297">
        <f t="shared" si="4"/>
        <v>25000000</v>
      </c>
      <c r="O34" s="297">
        <f t="shared" si="4"/>
        <v>40000000</v>
      </c>
      <c r="P34" s="878">
        <f t="shared" si="4"/>
        <v>70000000</v>
      </c>
      <c r="Q34" s="297">
        <f t="shared" si="0"/>
        <v>30000000</v>
      </c>
    </row>
    <row r="35" spans="1:17" ht="30" customHeight="1">
      <c r="A35" s="666">
        <v>270</v>
      </c>
      <c r="B35" s="297" t="s">
        <v>253</v>
      </c>
      <c r="C35" s="297">
        <v>0</v>
      </c>
      <c r="D35" s="297">
        <f>SUM(D24:D33)</f>
        <v>28000000</v>
      </c>
      <c r="E35" s="297">
        <f>SUM(E24:E33)</f>
        <v>65926400</v>
      </c>
      <c r="F35" s="297">
        <f>SUM(F24:F34)</f>
        <v>80000000</v>
      </c>
      <c r="G35" s="297">
        <f>SUM(G24:G34)</f>
        <v>74480000</v>
      </c>
      <c r="H35" s="297">
        <f>SUM(H24:H34)</f>
        <v>133620000</v>
      </c>
      <c r="I35" s="297" t="e">
        <f>I34+I30+I24+I16+#REF!</f>
        <v>#REF!</v>
      </c>
      <c r="J35" s="297"/>
      <c r="K35" s="297"/>
      <c r="L35" s="297"/>
      <c r="M35" s="297"/>
      <c r="N35" s="297"/>
      <c r="O35" s="297"/>
      <c r="P35" s="878"/>
      <c r="Q35" s="296">
        <f t="shared" si="0"/>
        <v>0</v>
      </c>
    </row>
    <row r="36" spans="1:17" ht="30" customHeight="1">
      <c r="A36" s="666">
        <v>2710</v>
      </c>
      <c r="B36" s="297" t="s">
        <v>252</v>
      </c>
      <c r="C36" s="296"/>
      <c r="D36" s="296">
        <v>0</v>
      </c>
      <c r="E36" s="296"/>
      <c r="F36" s="296"/>
      <c r="G36" s="296"/>
      <c r="H36" s="296"/>
      <c r="I36" s="296"/>
      <c r="J36" s="672"/>
      <c r="K36" s="672"/>
      <c r="L36" s="296"/>
      <c r="M36" s="296"/>
      <c r="N36" s="296"/>
      <c r="O36" s="296"/>
      <c r="P36" s="876"/>
      <c r="Q36" s="296">
        <f t="shared" si="0"/>
        <v>0</v>
      </c>
    </row>
    <row r="37" spans="1:17" ht="30" customHeight="1">
      <c r="A37" s="671">
        <v>27601</v>
      </c>
      <c r="B37" s="296" t="s">
        <v>264</v>
      </c>
      <c r="C37" s="296"/>
      <c r="D37" s="296" t="e">
        <f>#REF!-D36</f>
        <v>#REF!</v>
      </c>
      <c r="E37" s="296"/>
      <c r="F37" s="296"/>
      <c r="G37" s="296"/>
      <c r="H37" s="296"/>
      <c r="I37" s="296"/>
      <c r="J37" s="296">
        <v>0</v>
      </c>
      <c r="K37" s="296">
        <v>49678000</v>
      </c>
      <c r="L37" s="296">
        <v>0</v>
      </c>
      <c r="M37" s="296">
        <v>0</v>
      </c>
      <c r="N37" s="296">
        <v>0</v>
      </c>
      <c r="O37" s="296">
        <v>0</v>
      </c>
      <c r="P37" s="876">
        <v>0</v>
      </c>
      <c r="Q37" s="296">
        <f t="shared" si="0"/>
        <v>0</v>
      </c>
    </row>
    <row r="38" spans="1:17" ht="30" customHeight="1">
      <c r="A38" s="671">
        <v>27402</v>
      </c>
      <c r="B38" s="296" t="s">
        <v>875</v>
      </c>
      <c r="C38" s="673"/>
      <c r="D38" s="673"/>
      <c r="E38" s="673"/>
      <c r="F38" s="673"/>
      <c r="G38" s="673"/>
      <c r="H38" s="673"/>
      <c r="I38" s="673"/>
      <c r="J38" s="296">
        <v>0</v>
      </c>
      <c r="K38" s="296">
        <f>156000000*70%</f>
        <v>109200000</v>
      </c>
      <c r="L38" s="296">
        <v>42000000</v>
      </c>
      <c r="M38" s="296">
        <v>0</v>
      </c>
      <c r="N38" s="296">
        <v>0</v>
      </c>
      <c r="O38" s="296">
        <v>0</v>
      </c>
      <c r="P38" s="876">
        <v>260000000</v>
      </c>
      <c r="Q38" s="296">
        <f t="shared" si="0"/>
        <v>260000000</v>
      </c>
    </row>
    <row r="39" spans="1:17" ht="30" customHeight="1">
      <c r="A39" s="671">
        <v>27502</v>
      </c>
      <c r="B39" s="296" t="s">
        <v>148</v>
      </c>
      <c r="C39" s="673"/>
      <c r="D39" s="673"/>
      <c r="E39" s="673"/>
      <c r="F39" s="673"/>
      <c r="G39" s="673"/>
      <c r="H39" s="673"/>
      <c r="I39" s="673"/>
      <c r="J39" s="296">
        <v>0</v>
      </c>
      <c r="K39" s="296">
        <v>0</v>
      </c>
      <c r="L39" s="296">
        <v>0</v>
      </c>
      <c r="M39" s="296">
        <v>0</v>
      </c>
      <c r="N39" s="296">
        <v>0</v>
      </c>
      <c r="O39" s="296">
        <v>0</v>
      </c>
      <c r="P39" s="876">
        <v>0</v>
      </c>
      <c r="Q39" s="296">
        <f t="shared" si="0"/>
        <v>0</v>
      </c>
    </row>
    <row r="40" spans="1:17" ht="30" customHeight="1">
      <c r="A40" s="671">
        <v>27604</v>
      </c>
      <c r="B40" s="296" t="s">
        <v>149</v>
      </c>
      <c r="C40" s="673"/>
      <c r="D40" s="673"/>
      <c r="E40" s="673"/>
      <c r="F40" s="673"/>
      <c r="G40" s="673"/>
      <c r="H40" s="673"/>
      <c r="I40" s="673"/>
      <c r="J40" s="296">
        <v>0</v>
      </c>
      <c r="K40" s="296">
        <v>0</v>
      </c>
      <c r="L40" s="296">
        <v>0</v>
      </c>
      <c r="M40" s="296">
        <v>0</v>
      </c>
      <c r="N40" s="296">
        <v>0</v>
      </c>
      <c r="O40" s="296">
        <v>0</v>
      </c>
      <c r="P40" s="876">
        <v>0</v>
      </c>
      <c r="Q40" s="296">
        <f t="shared" si="0"/>
        <v>0</v>
      </c>
    </row>
    <row r="41" spans="1:17" ht="30" customHeight="1">
      <c r="A41" s="671"/>
      <c r="B41" s="297" t="s">
        <v>92</v>
      </c>
      <c r="C41" s="673"/>
      <c r="D41" s="673"/>
      <c r="E41" s="673"/>
      <c r="F41" s="673"/>
      <c r="G41" s="673"/>
      <c r="H41" s="673"/>
      <c r="I41" s="673"/>
      <c r="J41" s="297">
        <v>0</v>
      </c>
      <c r="K41" s="674">
        <f t="shared" ref="K41:P41" si="5">SUM(K37:K40)</f>
        <v>158878000</v>
      </c>
      <c r="L41" s="297">
        <f t="shared" si="5"/>
        <v>42000000</v>
      </c>
      <c r="M41" s="297">
        <f t="shared" si="5"/>
        <v>0</v>
      </c>
      <c r="N41" s="297">
        <f t="shared" si="5"/>
        <v>0</v>
      </c>
      <c r="O41" s="297">
        <f t="shared" si="5"/>
        <v>0</v>
      </c>
      <c r="P41" s="878">
        <f t="shared" si="5"/>
        <v>260000000</v>
      </c>
      <c r="Q41" s="297">
        <f t="shared" si="0"/>
        <v>260000000</v>
      </c>
    </row>
    <row r="42" spans="1:17" ht="30" customHeight="1">
      <c r="A42" s="666">
        <v>2720</v>
      </c>
      <c r="B42" s="297" t="s">
        <v>1096</v>
      </c>
      <c r="C42" s="673"/>
      <c r="D42" s="673"/>
      <c r="E42" s="673"/>
      <c r="F42" s="673"/>
      <c r="G42" s="673"/>
      <c r="H42" s="673"/>
      <c r="I42" s="673"/>
      <c r="J42" s="297"/>
      <c r="K42" s="674"/>
      <c r="L42" s="297"/>
      <c r="M42" s="297"/>
      <c r="N42" s="297"/>
      <c r="O42" s="297"/>
      <c r="P42" s="878"/>
      <c r="Q42" s="296">
        <f t="shared" si="0"/>
        <v>0</v>
      </c>
    </row>
    <row r="43" spans="1:17" ht="30" customHeight="1">
      <c r="A43" s="671">
        <v>27202</v>
      </c>
      <c r="B43" s="296" t="s">
        <v>1199</v>
      </c>
      <c r="C43" s="673"/>
      <c r="D43" s="673"/>
      <c r="E43" s="673"/>
      <c r="F43" s="673"/>
      <c r="G43" s="673"/>
      <c r="H43" s="673"/>
      <c r="I43" s="673"/>
      <c r="J43" s="297"/>
      <c r="K43" s="674"/>
      <c r="L43" s="297"/>
      <c r="M43" s="297"/>
      <c r="N43" s="297"/>
      <c r="O43" s="296">
        <v>1500000000</v>
      </c>
      <c r="P43" s="876">
        <v>0</v>
      </c>
      <c r="Q43" s="296">
        <f t="shared" si="0"/>
        <v>-1500000000</v>
      </c>
    </row>
    <row r="44" spans="1:17" ht="30" customHeight="1">
      <c r="A44" s="671"/>
      <c r="B44" s="297" t="s">
        <v>92</v>
      </c>
      <c r="C44" s="673"/>
      <c r="D44" s="673"/>
      <c r="E44" s="673"/>
      <c r="F44" s="673"/>
      <c r="G44" s="673"/>
      <c r="H44" s="673"/>
      <c r="I44" s="673"/>
      <c r="J44" s="297"/>
      <c r="K44" s="674"/>
      <c r="L44" s="297"/>
      <c r="M44" s="297"/>
      <c r="N44" s="297"/>
      <c r="O44" s="297">
        <f>SUM(O43)</f>
        <v>1500000000</v>
      </c>
      <c r="P44" s="878">
        <f>SUM(P43)</f>
        <v>0</v>
      </c>
      <c r="Q44" s="297">
        <f t="shared" si="0"/>
        <v>-1500000000</v>
      </c>
    </row>
    <row r="45" spans="1:17" ht="30" customHeight="1">
      <c r="A45" s="666">
        <v>2810</v>
      </c>
      <c r="B45" s="297" t="s">
        <v>1384</v>
      </c>
      <c r="C45" s="673"/>
      <c r="D45" s="673"/>
      <c r="E45" s="673"/>
      <c r="F45" s="673"/>
      <c r="G45" s="673"/>
      <c r="H45" s="673"/>
      <c r="I45" s="673"/>
      <c r="J45" s="297"/>
      <c r="K45" s="674"/>
      <c r="L45" s="297"/>
      <c r="M45" s="297"/>
      <c r="N45" s="297"/>
      <c r="O45" s="297"/>
      <c r="P45" s="878"/>
      <c r="Q45" s="297">
        <f t="shared" si="0"/>
        <v>0</v>
      </c>
    </row>
    <row r="46" spans="1:17" ht="30" customHeight="1">
      <c r="A46" s="671">
        <v>28101</v>
      </c>
      <c r="B46" s="296" t="s">
        <v>559</v>
      </c>
      <c r="C46" s="673"/>
      <c r="D46" s="673"/>
      <c r="E46" s="673"/>
      <c r="F46" s="673"/>
      <c r="G46" s="673"/>
      <c r="H46" s="673"/>
      <c r="I46" s="673"/>
      <c r="J46" s="297"/>
      <c r="K46" s="674"/>
      <c r="L46" s="297"/>
      <c r="M46" s="297"/>
      <c r="N46" s="297"/>
      <c r="O46" s="297">
        <v>0</v>
      </c>
      <c r="P46" s="876">
        <v>50000000</v>
      </c>
      <c r="Q46" s="296">
        <f t="shared" si="0"/>
        <v>50000000</v>
      </c>
    </row>
    <row r="47" spans="1:17" ht="30" customHeight="1">
      <c r="A47" s="671"/>
      <c r="B47" s="297" t="s">
        <v>92</v>
      </c>
      <c r="C47" s="673"/>
      <c r="D47" s="673"/>
      <c r="E47" s="673"/>
      <c r="F47" s="673"/>
      <c r="G47" s="673"/>
      <c r="H47" s="673"/>
      <c r="I47" s="673"/>
      <c r="J47" s="297"/>
      <c r="K47" s="674"/>
      <c r="L47" s="297"/>
      <c r="M47" s="297"/>
      <c r="N47" s="297"/>
      <c r="O47" s="297"/>
      <c r="P47" s="878">
        <f>SUM(P46)</f>
        <v>50000000</v>
      </c>
      <c r="Q47" s="297">
        <f t="shared" si="0"/>
        <v>50000000</v>
      </c>
    </row>
    <row r="48" spans="1:17" ht="30" customHeight="1">
      <c r="A48" s="671"/>
      <c r="B48" s="297" t="s">
        <v>37</v>
      </c>
      <c r="C48" s="673"/>
      <c r="D48" s="673"/>
      <c r="E48" s="673"/>
      <c r="F48" s="673"/>
      <c r="G48" s="673"/>
      <c r="H48" s="673"/>
      <c r="I48" s="673"/>
      <c r="J48" s="297">
        <v>0</v>
      </c>
      <c r="K48" s="674">
        <f>K41+K34+K29+K23+K9</f>
        <v>1026428400</v>
      </c>
      <c r="L48" s="297">
        <f>L41+L34+L29+L23+L9</f>
        <v>1289334400</v>
      </c>
      <c r="M48" s="297">
        <f>M41+M34+M29+M23+M9</f>
        <v>1900668800</v>
      </c>
      <c r="N48" s="297">
        <f>N41+N34+N29+N23+N9</f>
        <v>2007624000</v>
      </c>
      <c r="O48" s="297">
        <f>O41+O34+O29+O23+O9+O44</f>
        <v>3416624000</v>
      </c>
      <c r="P48" s="878">
        <f>P41+P34+P29+P23+P9+P44+P47</f>
        <v>3221084320</v>
      </c>
      <c r="Q48" s="297">
        <f t="shared" si="0"/>
        <v>-195539680</v>
      </c>
    </row>
    <row r="50" spans="2:2" ht="30" customHeight="1">
      <c r="B50" s="675"/>
    </row>
  </sheetData>
  <pageMargins left="0.7" right="0.47" top="0.9" bottom="0.5" header="0.31" footer="0.17"/>
  <pageSetup scale="45" orientation="portrait" r:id="rId1"/>
  <headerFooter>
    <oddHeader>&amp;C&amp;"Algerian,Bold"&amp;28KOMISHANKA MAAMULWANAAGA IYO LA DAGAALANKA M.MAASUGA</oddHeader>
    <oddFooter>&amp;R&amp;"Times New Roman,Bold"&amp;16 56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60" zoomScaleNormal="100" workbookViewId="0">
      <selection activeCell="R5" sqref="R5"/>
    </sheetView>
  </sheetViews>
  <sheetFormatPr defaultRowHeight="23.1" customHeight="1"/>
  <cols>
    <col min="1" max="1" width="20.33203125" style="565" bestFit="1" customWidth="1"/>
    <col min="2" max="2" width="80.1640625" style="399" customWidth="1"/>
    <col min="3" max="3" width="0.1640625" style="399" hidden="1" customWidth="1"/>
    <col min="4" max="12" width="9.33203125" style="399" hidden="1" customWidth="1"/>
    <col min="13" max="13" width="24.5" style="399" hidden="1" customWidth="1"/>
    <col min="14" max="14" width="28" style="561" hidden="1" customWidth="1"/>
    <col min="15" max="16" width="27.6640625" style="561" hidden="1" customWidth="1"/>
    <col min="17" max="18" width="29.5" style="561" bestFit="1" customWidth="1"/>
    <col min="19" max="19" width="27.6640625" style="561" customWidth="1"/>
    <col min="20" max="16384" width="9.33203125" style="399"/>
  </cols>
  <sheetData>
    <row r="1" spans="1:19" ht="23.1" customHeight="1">
      <c r="A1" s="608" t="s">
        <v>40</v>
      </c>
      <c r="B1" s="545" t="s">
        <v>1027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246"/>
      <c r="O1" s="246"/>
      <c r="P1" s="246"/>
      <c r="Q1" s="246"/>
      <c r="R1" s="246"/>
      <c r="S1" s="246"/>
    </row>
    <row r="2" spans="1:19" ht="23.1" customHeight="1">
      <c r="A2" s="608" t="s">
        <v>25</v>
      </c>
      <c r="B2" s="478" t="s">
        <v>26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57</v>
      </c>
      <c r="H2" s="482" t="s">
        <v>64</v>
      </c>
      <c r="I2" s="482" t="s">
        <v>103</v>
      </c>
      <c r="J2" s="482" t="s">
        <v>107</v>
      </c>
      <c r="K2" s="482" t="s">
        <v>115</v>
      </c>
      <c r="L2" s="482" t="s">
        <v>151</v>
      </c>
      <c r="M2" s="482" t="s">
        <v>257</v>
      </c>
      <c r="N2" s="286" t="s">
        <v>814</v>
      </c>
      <c r="O2" s="286" t="s">
        <v>874</v>
      </c>
      <c r="P2" s="286" t="s">
        <v>973</v>
      </c>
      <c r="Q2" s="286" t="s">
        <v>1160</v>
      </c>
      <c r="R2" s="286" t="s">
        <v>1320</v>
      </c>
      <c r="S2" s="286" t="s">
        <v>56</v>
      </c>
    </row>
    <row r="3" spans="1:19" ht="23.1" customHeight="1">
      <c r="A3" s="476">
        <v>210</v>
      </c>
      <c r="B3" s="280" t="s">
        <v>137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46"/>
      <c r="O3" s="246"/>
      <c r="P3" s="246"/>
      <c r="Q3" s="246"/>
      <c r="R3" s="246"/>
      <c r="S3" s="246"/>
    </row>
    <row r="4" spans="1:19" ht="23.1" customHeight="1">
      <c r="A4" s="476">
        <v>2110</v>
      </c>
      <c r="B4" s="280" t="s">
        <v>213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3.1" customHeight="1">
      <c r="A5" s="392">
        <v>21101</v>
      </c>
      <c r="B5" s="246" t="s">
        <v>28</v>
      </c>
      <c r="C5" s="246"/>
      <c r="D5" s="246"/>
      <c r="E5" s="246"/>
      <c r="F5" s="246"/>
      <c r="G5" s="246"/>
      <c r="H5" s="246"/>
      <c r="I5" s="246"/>
      <c r="J5" s="246"/>
      <c r="K5" s="246"/>
      <c r="L5" s="246">
        <f>5452606800+308184000</f>
        <v>5760790800</v>
      </c>
      <c r="M5" s="246">
        <v>344791200</v>
      </c>
      <c r="N5" s="246">
        <v>412214400</v>
      </c>
      <c r="O5" s="246">
        <v>648048960</v>
      </c>
      <c r="P5" s="246">
        <v>750222720</v>
      </c>
      <c r="Q5" s="246">
        <v>923869440</v>
      </c>
      <c r="R5" s="246">
        <v>1231566336</v>
      </c>
      <c r="S5" s="246">
        <f>R5-Q5</f>
        <v>307696896</v>
      </c>
    </row>
    <row r="6" spans="1:19" ht="23.1" customHeight="1">
      <c r="A6" s="392">
        <v>21101</v>
      </c>
      <c r="B6" s="246" t="s">
        <v>1368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>
        <v>277538976</v>
      </c>
      <c r="S6" s="246">
        <f>R6-Q6</f>
        <v>277538976</v>
      </c>
    </row>
    <row r="7" spans="1:19" ht="23.1" customHeight="1">
      <c r="A7" s="392">
        <v>21102</v>
      </c>
      <c r="B7" s="246" t="s">
        <v>837</v>
      </c>
      <c r="C7" s="246"/>
      <c r="D7" s="246"/>
      <c r="E7" s="246"/>
      <c r="F7" s="246"/>
      <c r="G7" s="246"/>
      <c r="H7" s="246"/>
      <c r="I7" s="246"/>
      <c r="J7" s="246"/>
      <c r="K7" s="246"/>
      <c r="L7" s="246">
        <v>0</v>
      </c>
      <c r="M7" s="246"/>
      <c r="N7" s="246">
        <v>133200000</v>
      </c>
      <c r="O7" s="246">
        <v>133200000</v>
      </c>
      <c r="P7" s="246">
        <v>271200000</v>
      </c>
      <c r="Q7" s="282">
        <v>368400000</v>
      </c>
      <c r="R7" s="282">
        <v>368400000</v>
      </c>
      <c r="S7" s="246">
        <f t="shared" ref="S7:S58" si="0">R7-Q7</f>
        <v>0</v>
      </c>
    </row>
    <row r="8" spans="1:19" ht="23.1" customHeight="1">
      <c r="A8" s="392">
        <v>21103</v>
      </c>
      <c r="B8" s="246" t="s">
        <v>30</v>
      </c>
      <c r="C8" s="246"/>
      <c r="D8" s="246"/>
      <c r="E8" s="246"/>
      <c r="F8" s="246"/>
      <c r="G8" s="246"/>
      <c r="H8" s="246"/>
      <c r="I8" s="246"/>
      <c r="J8" s="246"/>
      <c r="K8" s="246"/>
      <c r="L8" s="246">
        <f>110800000+61200000</f>
        <v>172000000</v>
      </c>
      <c r="M8" s="246">
        <v>18000000</v>
      </c>
      <c r="N8" s="246">
        <v>162000000</v>
      </c>
      <c r="O8" s="246">
        <v>219600000</v>
      </c>
      <c r="P8" s="246">
        <v>342000000</v>
      </c>
      <c r="Q8" s="282">
        <v>462000000</v>
      </c>
      <c r="R8" s="852">
        <v>462000000</v>
      </c>
      <c r="S8" s="246">
        <f t="shared" si="0"/>
        <v>0</v>
      </c>
    </row>
    <row r="9" spans="1:19" ht="23.1" customHeight="1">
      <c r="A9" s="392">
        <v>21105</v>
      </c>
      <c r="B9" s="246" t="s">
        <v>1487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82"/>
      <c r="R9" s="852">
        <v>36000000</v>
      </c>
      <c r="S9" s="246">
        <f t="shared" si="0"/>
        <v>36000000</v>
      </c>
    </row>
    <row r="10" spans="1:19" ht="23.1" customHeight="1">
      <c r="A10" s="476">
        <v>2120</v>
      </c>
      <c r="B10" s="280" t="s">
        <v>218</v>
      </c>
      <c r="C10" s="280"/>
      <c r="D10" s="280"/>
      <c r="E10" s="280"/>
      <c r="F10" s="280"/>
      <c r="G10" s="280"/>
      <c r="H10" s="280"/>
      <c r="I10" s="280"/>
      <c r="J10" s="280"/>
      <c r="K10" s="246"/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840">
        <v>0</v>
      </c>
      <c r="S10" s="246">
        <f t="shared" si="0"/>
        <v>0</v>
      </c>
    </row>
    <row r="11" spans="1:19" ht="23.1" customHeight="1">
      <c r="A11" s="392">
        <v>21202</v>
      </c>
      <c r="B11" s="246" t="s">
        <v>418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>
        <v>10218000</v>
      </c>
      <c r="M11" s="246">
        <v>8052200</v>
      </c>
      <c r="N11" s="246">
        <v>0</v>
      </c>
      <c r="O11" s="246">
        <v>0</v>
      </c>
      <c r="P11" s="246">
        <v>0</v>
      </c>
      <c r="Q11" s="246">
        <v>0</v>
      </c>
      <c r="R11" s="840">
        <v>0</v>
      </c>
      <c r="S11" s="246">
        <f t="shared" si="0"/>
        <v>0</v>
      </c>
    </row>
    <row r="12" spans="1:19" ht="23.1" customHeight="1">
      <c r="A12" s="392"/>
      <c r="B12" s="280" t="s">
        <v>92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80">
        <f t="shared" ref="L12:O12" si="1">SUM(L5:L11)</f>
        <v>5943008800</v>
      </c>
      <c r="M12" s="280">
        <f t="shared" si="1"/>
        <v>370843400</v>
      </c>
      <c r="N12" s="280">
        <f t="shared" si="1"/>
        <v>707414400</v>
      </c>
      <c r="O12" s="280">
        <f t="shared" si="1"/>
        <v>1000848960</v>
      </c>
      <c r="P12" s="280">
        <f>SUM(P5:P11)</f>
        <v>1363422720</v>
      </c>
      <c r="Q12" s="280">
        <f>SUM(Q5:Q11)</f>
        <v>1754269440</v>
      </c>
      <c r="R12" s="851">
        <f>SUM(R5:R11)</f>
        <v>2375505312</v>
      </c>
      <c r="S12" s="280">
        <f t="shared" si="0"/>
        <v>621235872</v>
      </c>
    </row>
    <row r="13" spans="1:19" ht="23.1" customHeight="1">
      <c r="A13" s="476">
        <v>220</v>
      </c>
      <c r="B13" s="280" t="s">
        <v>225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840"/>
      <c r="S13" s="246">
        <f t="shared" si="0"/>
        <v>0</v>
      </c>
    </row>
    <row r="14" spans="1:19" ht="23.1" customHeight="1">
      <c r="A14" s="476">
        <v>2210</v>
      </c>
      <c r="B14" s="280" t="s">
        <v>226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840"/>
      <c r="S14" s="246">
        <f t="shared" si="0"/>
        <v>0</v>
      </c>
    </row>
    <row r="15" spans="1:19" ht="23.1" customHeight="1">
      <c r="A15" s="392">
        <v>22101</v>
      </c>
      <c r="B15" s="246" t="s">
        <v>33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>
        <f>22344000+30462320</f>
        <v>52806320</v>
      </c>
      <c r="M15" s="246">
        <v>15525058</v>
      </c>
      <c r="N15" s="246">
        <v>65525058</v>
      </c>
      <c r="O15" s="246">
        <f>N15</f>
        <v>65525058</v>
      </c>
      <c r="P15" s="246">
        <v>100000000</v>
      </c>
      <c r="Q15" s="246">
        <v>200000000</v>
      </c>
      <c r="R15" s="840">
        <v>250000000</v>
      </c>
      <c r="S15" s="246">
        <f t="shared" si="0"/>
        <v>50000000</v>
      </c>
    </row>
    <row r="16" spans="1:19" ht="23.1" customHeight="1">
      <c r="A16" s="392">
        <v>22102</v>
      </c>
      <c r="B16" s="246" t="s">
        <v>124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>
        <f>8937600</f>
        <v>8937600</v>
      </c>
      <c r="M16" s="246">
        <v>5880000</v>
      </c>
      <c r="N16" s="246">
        <v>25880000</v>
      </c>
      <c r="O16" s="246">
        <v>25880000</v>
      </c>
      <c r="P16" s="246">
        <v>25880000</v>
      </c>
      <c r="Q16" s="246">
        <v>25880000</v>
      </c>
      <c r="R16" s="840">
        <v>25880000</v>
      </c>
      <c r="S16" s="246">
        <f t="shared" si="0"/>
        <v>0</v>
      </c>
    </row>
    <row r="17" spans="1:19" ht="23.1" customHeight="1">
      <c r="A17" s="392">
        <v>22104</v>
      </c>
      <c r="B17" s="246" t="s">
        <v>157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>
        <f>67136000+77000000</f>
        <v>144136000</v>
      </c>
      <c r="M17" s="246">
        <v>62955984</v>
      </c>
      <c r="N17" s="246">
        <f t="shared" ref="N17:R23" si="2">M17</f>
        <v>62955984</v>
      </c>
      <c r="O17" s="246">
        <f t="shared" si="2"/>
        <v>62955984</v>
      </c>
      <c r="P17" s="246">
        <f t="shared" si="2"/>
        <v>62955984</v>
      </c>
      <c r="Q17" s="246">
        <f t="shared" si="2"/>
        <v>62955984</v>
      </c>
      <c r="R17" s="840">
        <f t="shared" si="2"/>
        <v>62955984</v>
      </c>
      <c r="S17" s="246">
        <f t="shared" si="0"/>
        <v>0</v>
      </c>
    </row>
    <row r="18" spans="1:19" ht="23.1" customHeight="1">
      <c r="A18" s="392">
        <v>22105</v>
      </c>
      <c r="B18" s="246" t="s">
        <v>135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>
        <f>3724000</f>
        <v>3724000</v>
      </c>
      <c r="M18" s="246">
        <v>2940000</v>
      </c>
      <c r="N18" s="246">
        <f t="shared" si="2"/>
        <v>2940000</v>
      </c>
      <c r="O18" s="246">
        <f t="shared" si="2"/>
        <v>2940000</v>
      </c>
      <c r="P18" s="246">
        <f t="shared" si="2"/>
        <v>2940000</v>
      </c>
      <c r="Q18" s="246">
        <f t="shared" si="2"/>
        <v>2940000</v>
      </c>
      <c r="R18" s="840">
        <v>23000000</v>
      </c>
      <c r="S18" s="246">
        <f t="shared" si="0"/>
        <v>20060000</v>
      </c>
    </row>
    <row r="19" spans="1:19" ht="23.1" customHeight="1">
      <c r="A19" s="392">
        <v>22107</v>
      </c>
      <c r="B19" s="246" t="s">
        <v>48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>
        <f>39792000+5213600</f>
        <v>45005600</v>
      </c>
      <c r="M19" s="246">
        <v>11381303</v>
      </c>
      <c r="N19" s="246">
        <v>57966912</v>
      </c>
      <c r="O19" s="246">
        <v>77966912</v>
      </c>
      <c r="P19" s="246">
        <v>77966912</v>
      </c>
      <c r="Q19" s="246">
        <v>127966912</v>
      </c>
      <c r="R19" s="840">
        <v>127966912</v>
      </c>
      <c r="S19" s="246">
        <f t="shared" si="0"/>
        <v>0</v>
      </c>
    </row>
    <row r="20" spans="1:19" ht="23.1" customHeight="1">
      <c r="A20" s="392">
        <v>22108</v>
      </c>
      <c r="B20" s="246" t="s">
        <v>93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>
        <v>1226626880</v>
      </c>
      <c r="M20" s="246"/>
      <c r="N20" s="246">
        <f>M20*70%</f>
        <v>0</v>
      </c>
      <c r="O20" s="246">
        <v>30000000</v>
      </c>
      <c r="P20" s="246">
        <v>30000000</v>
      </c>
      <c r="Q20" s="246">
        <v>30000000</v>
      </c>
      <c r="R20" s="840">
        <v>30000000</v>
      </c>
      <c r="S20" s="246">
        <f t="shared" si="0"/>
        <v>0</v>
      </c>
    </row>
    <row r="21" spans="1:19" ht="23.1" customHeight="1">
      <c r="A21" s="392">
        <v>22109</v>
      </c>
      <c r="B21" s="246" t="s">
        <v>136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46">
        <f>17448000+5213600</f>
        <v>22661600</v>
      </c>
      <c r="M21" s="246">
        <v>10793798</v>
      </c>
      <c r="N21" s="246">
        <f t="shared" si="2"/>
        <v>10793798</v>
      </c>
      <c r="O21" s="246">
        <v>15793798</v>
      </c>
      <c r="P21" s="246">
        <v>15793798</v>
      </c>
      <c r="Q21" s="246">
        <v>30793798</v>
      </c>
      <c r="R21" s="840">
        <v>30793798</v>
      </c>
      <c r="S21" s="246">
        <f t="shared" si="0"/>
        <v>0</v>
      </c>
    </row>
    <row r="22" spans="1:19" ht="23.1" customHeight="1">
      <c r="A22" s="392">
        <v>22112</v>
      </c>
      <c r="B22" s="246" t="s">
        <v>35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>
        <f>17448000+49000000</f>
        <v>66448000</v>
      </c>
      <c r="M22" s="246">
        <v>32182886</v>
      </c>
      <c r="N22" s="246">
        <f t="shared" si="2"/>
        <v>32182886</v>
      </c>
      <c r="O22" s="246">
        <v>42182886</v>
      </c>
      <c r="P22" s="246">
        <v>42182886</v>
      </c>
      <c r="Q22" s="246">
        <v>42182886</v>
      </c>
      <c r="R22" s="840">
        <v>42182886</v>
      </c>
      <c r="S22" s="246">
        <f t="shared" si="0"/>
        <v>0</v>
      </c>
    </row>
    <row r="23" spans="1:19" ht="23.1" customHeight="1">
      <c r="A23" s="392">
        <v>22123</v>
      </c>
      <c r="B23" s="246" t="s">
        <v>301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>
        <v>3865000000</v>
      </c>
      <c r="M23" s="246">
        <v>0</v>
      </c>
      <c r="N23" s="246">
        <f t="shared" si="2"/>
        <v>0</v>
      </c>
      <c r="O23" s="246">
        <f t="shared" si="2"/>
        <v>0</v>
      </c>
      <c r="P23" s="246">
        <f t="shared" si="2"/>
        <v>0</v>
      </c>
      <c r="Q23" s="246">
        <f t="shared" si="2"/>
        <v>0</v>
      </c>
      <c r="R23" s="840">
        <f t="shared" si="2"/>
        <v>0</v>
      </c>
      <c r="S23" s="246">
        <f t="shared" si="0"/>
        <v>0</v>
      </c>
    </row>
    <row r="24" spans="1:19" ht="23.1" customHeight="1">
      <c r="A24" s="392">
        <v>22137</v>
      </c>
      <c r="B24" s="246" t="s">
        <v>1207</v>
      </c>
      <c r="C24" s="280"/>
      <c r="D24" s="280"/>
      <c r="E24" s="280"/>
      <c r="F24" s="280"/>
      <c r="G24" s="280"/>
      <c r="H24" s="280"/>
      <c r="I24" s="280"/>
      <c r="J24" s="280"/>
      <c r="K24" s="246"/>
      <c r="L24" s="246"/>
      <c r="M24" s="246"/>
      <c r="N24" s="246"/>
      <c r="O24" s="246"/>
      <c r="P24" s="246">
        <v>0</v>
      </c>
      <c r="Q24" s="246">
        <v>200000000</v>
      </c>
      <c r="R24" s="840">
        <v>200000000</v>
      </c>
      <c r="S24" s="246">
        <f t="shared" si="0"/>
        <v>0</v>
      </c>
    </row>
    <row r="25" spans="1:19" ht="23.1" customHeight="1">
      <c r="A25" s="392">
        <v>22176</v>
      </c>
      <c r="B25" s="246" t="s">
        <v>1067</v>
      </c>
      <c r="C25" s="280"/>
      <c r="D25" s="280"/>
      <c r="E25" s="280"/>
      <c r="F25" s="280"/>
      <c r="G25" s="280"/>
      <c r="H25" s="280"/>
      <c r="I25" s="280"/>
      <c r="J25" s="280"/>
      <c r="K25" s="246"/>
      <c r="L25" s="246"/>
      <c r="M25" s="246"/>
      <c r="N25" s="246"/>
      <c r="O25" s="246">
        <v>0</v>
      </c>
      <c r="P25" s="246">
        <v>100000000</v>
      </c>
      <c r="Q25" s="246">
        <v>200000000</v>
      </c>
      <c r="R25" s="840">
        <v>350000000</v>
      </c>
      <c r="S25" s="246">
        <f t="shared" si="0"/>
        <v>150000000</v>
      </c>
    </row>
    <row r="26" spans="1:19" ht="23.1" customHeight="1">
      <c r="A26" s="392">
        <v>22182</v>
      </c>
      <c r="B26" s="246" t="s">
        <v>1235</v>
      </c>
      <c r="C26" s="280"/>
      <c r="D26" s="280"/>
      <c r="E26" s="280"/>
      <c r="F26" s="280"/>
      <c r="G26" s="280"/>
      <c r="H26" s="280"/>
      <c r="I26" s="280"/>
      <c r="J26" s="280"/>
      <c r="K26" s="246"/>
      <c r="L26" s="246">
        <v>9594000</v>
      </c>
      <c r="M26" s="246">
        <v>2820636</v>
      </c>
      <c r="N26" s="246">
        <v>302700000</v>
      </c>
      <c r="O26" s="246">
        <v>302700000</v>
      </c>
      <c r="P26" s="246">
        <v>322700000</v>
      </c>
      <c r="Q26" s="246">
        <v>482700000</v>
      </c>
      <c r="R26" s="840">
        <v>900000000</v>
      </c>
      <c r="S26" s="246">
        <f t="shared" si="0"/>
        <v>417300000</v>
      </c>
    </row>
    <row r="27" spans="1:19" ht="23.1" customHeight="1">
      <c r="A27" s="392">
        <v>22183</v>
      </c>
      <c r="B27" s="246" t="s">
        <v>1236</v>
      </c>
      <c r="C27" s="280"/>
      <c r="D27" s="280"/>
      <c r="E27" s="280"/>
      <c r="F27" s="280"/>
      <c r="G27" s="280"/>
      <c r="H27" s="280"/>
      <c r="I27" s="280"/>
      <c r="J27" s="280"/>
      <c r="K27" s="246"/>
      <c r="L27" s="246"/>
      <c r="M27" s="246"/>
      <c r="N27" s="246"/>
      <c r="O27" s="246"/>
      <c r="P27" s="246">
        <v>332500000</v>
      </c>
      <c r="Q27" s="246">
        <v>482500000</v>
      </c>
      <c r="R27" s="840">
        <v>982500000</v>
      </c>
      <c r="S27" s="246">
        <f t="shared" si="0"/>
        <v>500000000</v>
      </c>
    </row>
    <row r="28" spans="1:19" ht="23.1" customHeight="1">
      <c r="A28" s="392">
        <v>22193</v>
      </c>
      <c r="B28" s="246" t="s">
        <v>1189</v>
      </c>
      <c r="C28" s="280"/>
      <c r="D28" s="280"/>
      <c r="E28" s="280"/>
      <c r="F28" s="280"/>
      <c r="G28" s="280"/>
      <c r="H28" s="280"/>
      <c r="I28" s="280"/>
      <c r="J28" s="280"/>
      <c r="K28" s="246"/>
      <c r="L28" s="246"/>
      <c r="M28" s="246"/>
      <c r="N28" s="246"/>
      <c r="O28" s="246"/>
      <c r="P28" s="246"/>
      <c r="Q28" s="246">
        <v>300000000</v>
      </c>
      <c r="R28" s="840">
        <v>700000000</v>
      </c>
      <c r="S28" s="246">
        <f t="shared" si="0"/>
        <v>400000000</v>
      </c>
    </row>
    <row r="29" spans="1:19" ht="23.1" customHeight="1">
      <c r="A29" s="392"/>
      <c r="B29" s="280" t="s">
        <v>92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80">
        <f>SUM(L15:L26)</f>
        <v>5444940000</v>
      </c>
      <c r="M29" s="280">
        <f>SUM(M15:M26)</f>
        <v>144479665</v>
      </c>
      <c r="N29" s="280">
        <f>SUM(N15:N26)</f>
        <v>560944638</v>
      </c>
      <c r="O29" s="280">
        <f>SUM(O15:O25)</f>
        <v>323244638</v>
      </c>
      <c r="P29" s="280">
        <f>SUM(P15:P28)</f>
        <v>1112919580</v>
      </c>
      <c r="Q29" s="280">
        <f>SUM(Q15:Q28)</f>
        <v>2187919580</v>
      </c>
      <c r="R29" s="851">
        <f>SUM(R15:R28)</f>
        <v>3725279580</v>
      </c>
      <c r="S29" s="280">
        <f t="shared" si="0"/>
        <v>1537360000</v>
      </c>
    </row>
    <row r="30" spans="1:19" ht="23.1" customHeight="1">
      <c r="A30" s="476">
        <v>2220</v>
      </c>
      <c r="B30" s="280" t="s">
        <v>240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840"/>
      <c r="S30" s="246">
        <f t="shared" si="0"/>
        <v>0</v>
      </c>
    </row>
    <row r="31" spans="1:19" ht="23.1" customHeight="1">
      <c r="A31" s="392">
        <v>22202</v>
      </c>
      <c r="B31" s="246" t="s">
        <v>133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>
        <f>412503000+230000000</f>
        <v>642503000</v>
      </c>
      <c r="M31" s="246">
        <v>230000000</v>
      </c>
      <c r="N31" s="246">
        <v>248000000</v>
      </c>
      <c r="O31" s="246">
        <v>263000000</v>
      </c>
      <c r="P31" s="246">
        <v>273000000</v>
      </c>
      <c r="Q31" s="246">
        <v>423000000</v>
      </c>
      <c r="R31" s="840">
        <v>463000000</v>
      </c>
      <c r="S31" s="246">
        <f t="shared" si="0"/>
        <v>40000000</v>
      </c>
    </row>
    <row r="32" spans="1:19" ht="23.1" customHeight="1">
      <c r="A32" s="392">
        <v>22203</v>
      </c>
      <c r="B32" s="246" t="s">
        <v>127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46">
        <f>37240000+32000000</f>
        <v>69240000</v>
      </c>
      <c r="M32" s="246">
        <v>24108000</v>
      </c>
      <c r="N32" s="246">
        <f t="shared" ref="N32:R35" si="3">M32</f>
        <v>24108000</v>
      </c>
      <c r="O32" s="246">
        <f t="shared" si="3"/>
        <v>24108000</v>
      </c>
      <c r="P32" s="246">
        <f t="shared" si="3"/>
        <v>24108000</v>
      </c>
      <c r="Q32" s="246">
        <v>74108000</v>
      </c>
      <c r="R32" s="840">
        <v>74108000</v>
      </c>
      <c r="S32" s="246">
        <f t="shared" si="0"/>
        <v>0</v>
      </c>
    </row>
    <row r="33" spans="1:19" ht="23.1" customHeight="1">
      <c r="A33" s="392">
        <v>22204</v>
      </c>
      <c r="B33" s="246" t="s">
        <v>128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46">
        <f>18620000+5958400</f>
        <v>24578400</v>
      </c>
      <c r="M33" s="246">
        <v>7350000</v>
      </c>
      <c r="N33" s="246">
        <f t="shared" si="3"/>
        <v>7350000</v>
      </c>
      <c r="O33" s="246">
        <v>17350000</v>
      </c>
      <c r="P33" s="246">
        <v>17350000</v>
      </c>
      <c r="Q33" s="246">
        <v>25000000</v>
      </c>
      <c r="R33" s="840">
        <v>25000000</v>
      </c>
      <c r="S33" s="246">
        <f t="shared" si="0"/>
        <v>0</v>
      </c>
    </row>
    <row r="34" spans="1:19" ht="23.1" customHeight="1">
      <c r="A34" s="392">
        <v>22208</v>
      </c>
      <c r="B34" s="246" t="s">
        <v>434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0">
        <f>601648350</f>
        <v>601648350</v>
      </c>
      <c r="M34" s="290">
        <v>0</v>
      </c>
      <c r="N34" s="246">
        <f t="shared" si="3"/>
        <v>0</v>
      </c>
      <c r="O34" s="246">
        <f t="shared" si="3"/>
        <v>0</v>
      </c>
      <c r="P34" s="246">
        <f t="shared" si="3"/>
        <v>0</v>
      </c>
      <c r="Q34" s="246">
        <f t="shared" si="3"/>
        <v>0</v>
      </c>
      <c r="R34" s="840">
        <f t="shared" si="3"/>
        <v>0</v>
      </c>
      <c r="S34" s="246">
        <f t="shared" si="0"/>
        <v>0</v>
      </c>
    </row>
    <row r="35" spans="1:19" ht="23.1" customHeight="1">
      <c r="A35" s="392">
        <v>22216</v>
      </c>
      <c r="B35" s="246" t="s">
        <v>269</v>
      </c>
      <c r="C35" s="292"/>
      <c r="D35" s="274" t="s">
        <v>4</v>
      </c>
      <c r="E35" s="274"/>
      <c r="F35" s="274"/>
      <c r="G35" s="274">
        <v>240000000</v>
      </c>
      <c r="H35" s="274">
        <v>120000000</v>
      </c>
      <c r="I35" s="274"/>
      <c r="J35" s="274"/>
      <c r="K35" s="274"/>
      <c r="L35" s="290">
        <f>22344000+3724000</f>
        <v>26068000</v>
      </c>
      <c r="M35" s="290">
        <v>0</v>
      </c>
      <c r="N35" s="246">
        <f t="shared" si="3"/>
        <v>0</v>
      </c>
      <c r="O35" s="246">
        <f t="shared" si="3"/>
        <v>0</v>
      </c>
      <c r="P35" s="246">
        <f t="shared" si="3"/>
        <v>0</v>
      </c>
      <c r="Q35" s="246">
        <f t="shared" si="3"/>
        <v>0</v>
      </c>
      <c r="R35" s="840">
        <f t="shared" si="3"/>
        <v>0</v>
      </c>
      <c r="S35" s="246">
        <f t="shared" si="0"/>
        <v>0</v>
      </c>
    </row>
    <row r="36" spans="1:19" ht="23.1" customHeight="1">
      <c r="A36" s="392"/>
      <c r="B36" s="280" t="s">
        <v>92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79">
        <f>SUM(L31:L34)</f>
        <v>1337969750</v>
      </c>
      <c r="M36" s="279">
        <f t="shared" ref="M36:R36" si="4">SUM(M31:M35)</f>
        <v>261458000</v>
      </c>
      <c r="N36" s="280">
        <f t="shared" si="4"/>
        <v>279458000</v>
      </c>
      <c r="O36" s="280">
        <f t="shared" si="4"/>
        <v>304458000</v>
      </c>
      <c r="P36" s="280">
        <f t="shared" si="4"/>
        <v>314458000</v>
      </c>
      <c r="Q36" s="280">
        <f t="shared" si="4"/>
        <v>522108000</v>
      </c>
      <c r="R36" s="851">
        <f t="shared" si="4"/>
        <v>562108000</v>
      </c>
      <c r="S36" s="280">
        <f t="shared" si="0"/>
        <v>40000000</v>
      </c>
    </row>
    <row r="37" spans="1:19" ht="23.1" customHeight="1">
      <c r="A37" s="476">
        <v>2230</v>
      </c>
      <c r="B37" s="280" t="s">
        <v>130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46"/>
      <c r="O37" s="246"/>
      <c r="P37" s="246"/>
      <c r="Q37" s="246"/>
      <c r="R37" s="840"/>
      <c r="S37" s="246">
        <f t="shared" si="0"/>
        <v>0</v>
      </c>
    </row>
    <row r="38" spans="1:19" ht="23.1" customHeight="1">
      <c r="A38" s="392">
        <v>22301</v>
      </c>
      <c r="B38" s="246" t="s">
        <v>49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0">
        <f>44792401+72850034</f>
        <v>117642435</v>
      </c>
      <c r="M38" s="290">
        <v>34586876</v>
      </c>
      <c r="N38" s="246">
        <f>M38</f>
        <v>34586876</v>
      </c>
      <c r="O38" s="246">
        <f>N38</f>
        <v>34586876</v>
      </c>
      <c r="P38" s="246">
        <f>O38</f>
        <v>34586876</v>
      </c>
      <c r="Q38" s="246">
        <v>104000000</v>
      </c>
      <c r="R38" s="840">
        <v>144000000</v>
      </c>
      <c r="S38" s="246">
        <f t="shared" si="0"/>
        <v>40000000</v>
      </c>
    </row>
    <row r="39" spans="1:19" ht="23.1" customHeight="1">
      <c r="A39" s="392">
        <v>22302</v>
      </c>
      <c r="B39" s="246" t="s">
        <v>249</v>
      </c>
      <c r="C39" s="292"/>
      <c r="D39" s="292"/>
      <c r="E39" s="274" t="e">
        <f>#REF!+#REF!</f>
        <v>#REF!</v>
      </c>
      <c r="F39" s="274" t="e">
        <f>#REF!+#REF!</f>
        <v>#REF!</v>
      </c>
      <c r="G39" s="274"/>
      <c r="H39" s="274"/>
      <c r="I39" s="274"/>
      <c r="J39" s="274"/>
      <c r="K39" s="274"/>
      <c r="L39" s="290">
        <v>5586000</v>
      </c>
      <c r="M39" s="290">
        <v>1642284</v>
      </c>
      <c r="N39" s="246">
        <v>42000000</v>
      </c>
      <c r="O39" s="246">
        <v>42000000</v>
      </c>
      <c r="P39" s="246">
        <v>20000000</v>
      </c>
      <c r="Q39" s="246">
        <v>70000000</v>
      </c>
      <c r="R39" s="840">
        <v>70000000</v>
      </c>
      <c r="S39" s="246">
        <f t="shared" si="0"/>
        <v>0</v>
      </c>
    </row>
    <row r="40" spans="1:19" ht="23.1" customHeight="1">
      <c r="A40" s="392">
        <v>22313</v>
      </c>
      <c r="B40" s="246" t="s">
        <v>251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74">
        <f t="shared" ref="L40:R40" si="5">K40-J40</f>
        <v>0</v>
      </c>
      <c r="M40" s="274">
        <f t="shared" si="5"/>
        <v>0</v>
      </c>
      <c r="N40" s="246">
        <f t="shared" si="5"/>
        <v>0</v>
      </c>
      <c r="O40" s="246">
        <f t="shared" si="5"/>
        <v>0</v>
      </c>
      <c r="P40" s="246">
        <f t="shared" si="5"/>
        <v>0</v>
      </c>
      <c r="Q40" s="246">
        <f t="shared" si="5"/>
        <v>0</v>
      </c>
      <c r="R40" s="840">
        <f t="shared" si="5"/>
        <v>0</v>
      </c>
      <c r="S40" s="246">
        <f t="shared" si="0"/>
        <v>0</v>
      </c>
    </row>
    <row r="41" spans="1:19" ht="23.1" customHeight="1">
      <c r="A41" s="392"/>
      <c r="B41" s="280" t="s">
        <v>92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1">
        <f t="shared" ref="L41:O41" si="6">SUM(L38:L40)</f>
        <v>123228435</v>
      </c>
      <c r="M41" s="291">
        <f t="shared" si="6"/>
        <v>36229160</v>
      </c>
      <c r="N41" s="280">
        <f t="shared" si="6"/>
        <v>76586876</v>
      </c>
      <c r="O41" s="280">
        <f t="shared" si="6"/>
        <v>76586876</v>
      </c>
      <c r="P41" s="280">
        <f>SUM(P38:P40)</f>
        <v>54586876</v>
      </c>
      <c r="Q41" s="280">
        <f>SUM(Q38:Q40)</f>
        <v>174000000</v>
      </c>
      <c r="R41" s="851">
        <f>SUM(R38:R40)</f>
        <v>214000000</v>
      </c>
      <c r="S41" s="280">
        <f t="shared" si="0"/>
        <v>40000000</v>
      </c>
    </row>
    <row r="42" spans="1:19" ht="23.1" customHeight="1">
      <c r="A42" s="476">
        <v>270</v>
      </c>
      <c r="B42" s="280" t="s">
        <v>253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46"/>
      <c r="O42" s="246"/>
      <c r="P42" s="246"/>
      <c r="Q42" s="246"/>
      <c r="R42" s="840"/>
      <c r="S42" s="246">
        <f t="shared" si="0"/>
        <v>0</v>
      </c>
    </row>
    <row r="43" spans="1:19" ht="23.1" customHeight="1">
      <c r="A43" s="476">
        <v>2710</v>
      </c>
      <c r="B43" s="280" t="s">
        <v>252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46"/>
      <c r="O43" s="246"/>
      <c r="P43" s="246"/>
      <c r="Q43" s="246"/>
      <c r="R43" s="840"/>
      <c r="S43" s="246">
        <f t="shared" si="0"/>
        <v>0</v>
      </c>
    </row>
    <row r="44" spans="1:19" ht="23.1" customHeight="1">
      <c r="A44" s="392">
        <v>27601</v>
      </c>
      <c r="B44" s="246" t="s">
        <v>146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74">
        <f>K44-J44</f>
        <v>0</v>
      </c>
      <c r="M44" s="676">
        <v>29400000</v>
      </c>
      <c r="N44" s="304">
        <v>50000000</v>
      </c>
      <c r="O44" s="304">
        <v>0</v>
      </c>
      <c r="P44" s="304">
        <v>0</v>
      </c>
      <c r="Q44" s="304">
        <v>0</v>
      </c>
      <c r="R44" s="870">
        <v>0</v>
      </c>
      <c r="S44" s="246">
        <f t="shared" si="0"/>
        <v>0</v>
      </c>
    </row>
    <row r="45" spans="1:19" ht="23.1" customHeight="1">
      <c r="A45" s="392">
        <v>27402</v>
      </c>
      <c r="B45" s="246" t="s">
        <v>1250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74"/>
      <c r="M45" s="676"/>
      <c r="N45" s="304">
        <v>108000000</v>
      </c>
      <c r="O45" s="304">
        <v>0</v>
      </c>
      <c r="P45" s="304">
        <v>0</v>
      </c>
      <c r="Q45" s="304">
        <v>360000000</v>
      </c>
      <c r="R45" s="870">
        <v>120000000</v>
      </c>
      <c r="S45" s="246">
        <f t="shared" si="0"/>
        <v>-240000000</v>
      </c>
    </row>
    <row r="46" spans="1:19" ht="23.1" customHeight="1">
      <c r="A46" s="392">
        <v>27402</v>
      </c>
      <c r="B46" s="246" t="s">
        <v>917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74">
        <f>K46-J46</f>
        <v>0</v>
      </c>
      <c r="M46" s="294">
        <v>61250000</v>
      </c>
      <c r="N46" s="304">
        <v>108000000</v>
      </c>
      <c r="O46" s="304">
        <v>108000000</v>
      </c>
      <c r="P46" s="304">
        <v>0</v>
      </c>
      <c r="Q46" s="304">
        <v>0</v>
      </c>
      <c r="R46" s="870">
        <v>0</v>
      </c>
      <c r="S46" s="246">
        <f t="shared" si="0"/>
        <v>0</v>
      </c>
    </row>
    <row r="47" spans="1:19" ht="23.1" customHeight="1">
      <c r="A47" s="392">
        <v>27502</v>
      </c>
      <c r="B47" s="246" t="s">
        <v>148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0">
        <f>5958400+5724000</f>
        <v>11682400</v>
      </c>
      <c r="M47" s="676">
        <v>3434635</v>
      </c>
      <c r="N47" s="304">
        <v>0</v>
      </c>
      <c r="O47" s="304">
        <v>0</v>
      </c>
      <c r="P47" s="304">
        <v>0</v>
      </c>
      <c r="Q47" s="304">
        <v>0</v>
      </c>
      <c r="R47" s="870">
        <v>0</v>
      </c>
      <c r="S47" s="246">
        <f t="shared" si="0"/>
        <v>0</v>
      </c>
    </row>
    <row r="48" spans="1:19" ht="23.1" customHeight="1">
      <c r="A48" s="392">
        <v>27604</v>
      </c>
      <c r="B48" s="246" t="s">
        <v>149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74">
        <v>5234000</v>
      </c>
      <c r="M48" s="294">
        <v>1538796</v>
      </c>
      <c r="N48" s="304">
        <v>0</v>
      </c>
      <c r="O48" s="304">
        <v>0</v>
      </c>
      <c r="P48" s="304">
        <v>0</v>
      </c>
      <c r="Q48" s="304">
        <v>0</v>
      </c>
      <c r="R48" s="870">
        <v>0</v>
      </c>
      <c r="S48" s="246">
        <f t="shared" si="0"/>
        <v>0</v>
      </c>
    </row>
    <row r="49" spans="1:19" ht="23.1" customHeight="1">
      <c r="A49" s="392"/>
      <c r="B49" s="280" t="s">
        <v>92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79">
        <f t="shared" ref="L49:O49" si="7">SUM(L44:L48)</f>
        <v>16916400</v>
      </c>
      <c r="M49" s="279">
        <f t="shared" si="7"/>
        <v>95623431</v>
      </c>
      <c r="N49" s="280">
        <f t="shared" si="7"/>
        <v>266000000</v>
      </c>
      <c r="O49" s="280">
        <f t="shared" si="7"/>
        <v>108000000</v>
      </c>
      <c r="P49" s="280">
        <f>SUM(P44:P48)</f>
        <v>0</v>
      </c>
      <c r="Q49" s="280">
        <f>SUM(Q44:Q48)</f>
        <v>360000000</v>
      </c>
      <c r="R49" s="851">
        <f>SUM(R44:R48)</f>
        <v>120000000</v>
      </c>
      <c r="S49" s="280">
        <f t="shared" si="0"/>
        <v>-240000000</v>
      </c>
    </row>
    <row r="50" spans="1:19" ht="23.1" customHeight="1">
      <c r="A50" s="476">
        <v>2720</v>
      </c>
      <c r="B50" s="280" t="s">
        <v>502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74"/>
      <c r="M50" s="274"/>
      <c r="N50" s="246"/>
      <c r="O50" s="246"/>
      <c r="P50" s="246"/>
      <c r="Q50" s="246"/>
      <c r="R50" s="840"/>
      <c r="S50" s="246">
        <f t="shared" si="0"/>
        <v>0</v>
      </c>
    </row>
    <row r="51" spans="1:19" ht="23.1" customHeight="1">
      <c r="A51" s="392">
        <v>27202</v>
      </c>
      <c r="B51" s="246" t="s">
        <v>502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74">
        <v>0</v>
      </c>
      <c r="M51" s="274">
        <v>0</v>
      </c>
      <c r="N51" s="246">
        <v>0</v>
      </c>
      <c r="O51" s="246">
        <v>0</v>
      </c>
      <c r="P51" s="246">
        <v>0</v>
      </c>
      <c r="Q51" s="246">
        <v>0</v>
      </c>
      <c r="R51" s="840">
        <v>0</v>
      </c>
      <c r="S51" s="246">
        <f t="shared" si="0"/>
        <v>0</v>
      </c>
    </row>
    <row r="52" spans="1:19" ht="23.1" customHeight="1">
      <c r="A52" s="392"/>
      <c r="B52" s="280" t="s">
        <v>92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79">
        <f>SUM(L51)</f>
        <v>0</v>
      </c>
      <c r="M52" s="279">
        <f>M51</f>
        <v>0</v>
      </c>
      <c r="N52" s="280">
        <f>SUM(N51)</f>
        <v>0</v>
      </c>
      <c r="O52" s="280">
        <f>SUM(O51)</f>
        <v>0</v>
      </c>
      <c r="P52" s="280">
        <f>SUM(P51)</f>
        <v>0</v>
      </c>
      <c r="Q52" s="280">
        <f>SUM(Q51)</f>
        <v>0</v>
      </c>
      <c r="R52" s="851">
        <f>SUM(R51)</f>
        <v>0</v>
      </c>
      <c r="S52" s="280">
        <f t="shared" si="0"/>
        <v>0</v>
      </c>
    </row>
    <row r="53" spans="1:19" s="567" customFormat="1" ht="23.1" customHeight="1">
      <c r="A53" s="558">
        <v>2630</v>
      </c>
      <c r="B53" s="521" t="s">
        <v>426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840"/>
      <c r="S53" s="246">
        <f t="shared" si="0"/>
        <v>0</v>
      </c>
    </row>
    <row r="54" spans="1:19" ht="23.1" customHeight="1">
      <c r="A54" s="392">
        <v>26301</v>
      </c>
      <c r="B54" s="246" t="s">
        <v>535</v>
      </c>
      <c r="C54" s="280"/>
      <c r="D54" s="280"/>
      <c r="E54" s="280"/>
      <c r="F54" s="280"/>
      <c r="G54" s="280"/>
      <c r="H54" s="280"/>
      <c r="I54" s="280"/>
      <c r="J54" s="280"/>
      <c r="K54" s="246"/>
      <c r="L54" s="246">
        <v>208000000</v>
      </c>
      <c r="M54" s="246">
        <v>0</v>
      </c>
      <c r="N54" s="246">
        <v>0</v>
      </c>
      <c r="O54" s="246">
        <v>0</v>
      </c>
      <c r="P54" s="246">
        <v>0</v>
      </c>
      <c r="Q54" s="246">
        <v>0</v>
      </c>
      <c r="R54" s="840">
        <v>0</v>
      </c>
      <c r="S54" s="246">
        <f t="shared" si="0"/>
        <v>0</v>
      </c>
    </row>
    <row r="55" spans="1:19" s="493" customFormat="1" ht="23.1" customHeight="1">
      <c r="A55" s="476">
        <v>2810</v>
      </c>
      <c r="B55" s="280" t="s">
        <v>1242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>
        <v>0</v>
      </c>
      <c r="Q55" s="280">
        <v>0</v>
      </c>
      <c r="R55" s="851">
        <v>0</v>
      </c>
      <c r="S55" s="246">
        <f t="shared" si="0"/>
        <v>0</v>
      </c>
    </row>
    <row r="56" spans="1:19" ht="23.1" customHeight="1">
      <c r="A56" s="392">
        <v>28102</v>
      </c>
      <c r="B56" s="246" t="s">
        <v>559</v>
      </c>
      <c r="C56" s="280"/>
      <c r="D56" s="280"/>
      <c r="E56" s="280"/>
      <c r="F56" s="280"/>
      <c r="G56" s="280"/>
      <c r="H56" s="280"/>
      <c r="I56" s="280"/>
      <c r="J56" s="280"/>
      <c r="K56" s="246"/>
      <c r="L56" s="246"/>
      <c r="M56" s="246"/>
      <c r="N56" s="246"/>
      <c r="O56" s="246"/>
      <c r="P56" s="246">
        <v>54000000</v>
      </c>
      <c r="Q56" s="246">
        <v>0</v>
      </c>
      <c r="R56" s="840">
        <v>0</v>
      </c>
      <c r="S56" s="246">
        <f t="shared" si="0"/>
        <v>0</v>
      </c>
    </row>
    <row r="57" spans="1:19" s="493" customFormat="1" ht="23.1" customHeight="1">
      <c r="A57" s="476"/>
      <c r="B57" s="280" t="s">
        <v>92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>
        <f>SUM(P56)</f>
        <v>54000000</v>
      </c>
      <c r="Q57" s="280">
        <f>SUM(Q56)</f>
        <v>0</v>
      </c>
      <c r="R57" s="280">
        <f>SUM(R56)</f>
        <v>0</v>
      </c>
      <c r="S57" s="280">
        <f t="shared" si="0"/>
        <v>0</v>
      </c>
    </row>
    <row r="58" spans="1:19" ht="23.1" customHeight="1">
      <c r="A58" s="392"/>
      <c r="B58" s="280" t="s">
        <v>37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79" t="e">
        <f>#REF!+L49+L41+L36+L29+L12</f>
        <v>#REF!</v>
      </c>
      <c r="M58" s="279" t="e">
        <f>#REF!+M52+M49+M41+M36+M29+M12</f>
        <v>#REF!</v>
      </c>
      <c r="N58" s="280" t="e">
        <f>#REF!+N52+N49+N41+N36+N29+N12</f>
        <v>#REF!</v>
      </c>
      <c r="O58" s="280" t="e">
        <f>#REF!+O52+O49+O41+O36+O29+O12</f>
        <v>#REF!</v>
      </c>
      <c r="P58" s="280">
        <f>P57+P49+P52+P41+P36+P29+P12</f>
        <v>2899387176</v>
      </c>
      <c r="Q58" s="280">
        <f>Q57+Q49+Q52+Q41+Q36+Q29+Q12</f>
        <v>4998297020</v>
      </c>
      <c r="R58" s="280">
        <f>R57+R49+R52+R41+R36+R29+R12</f>
        <v>6996892892</v>
      </c>
      <c r="S58" s="280">
        <f t="shared" si="0"/>
        <v>1998595872</v>
      </c>
    </row>
  </sheetData>
  <pageMargins left="0.7" right="0.7" top="0.75" bottom="0.75" header="0.3" footer="0.3"/>
  <pageSetup scale="50" orientation="portrait" r:id="rId1"/>
  <headerFooter>
    <oddHeader xml:space="preserve">&amp;C&amp;"Algerian,Bold"&amp;36WARAARAdDA DIB-U-DAJINTA </oddHeader>
    <oddFooter>&amp;R&amp;"Times New Roman,Bold"&amp;12 57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topLeftCell="A37" zoomScale="60" workbookViewId="0">
      <selection activeCell="H55" sqref="H55"/>
    </sheetView>
  </sheetViews>
  <sheetFormatPr defaultRowHeight="23.1" customHeight="1"/>
  <cols>
    <col min="1" max="1" width="17.33203125" style="976" bestFit="1" customWidth="1"/>
    <col min="2" max="2" width="80.83203125" style="976" customWidth="1"/>
    <col min="3" max="3" width="32.6640625" style="976" hidden="1" customWidth="1"/>
    <col min="4" max="5" width="27.6640625" style="976" hidden="1" customWidth="1"/>
    <col min="6" max="6" width="31" style="976" hidden="1" customWidth="1"/>
    <col min="7" max="7" width="30.6640625" style="976" customWidth="1"/>
    <col min="8" max="8" width="33.1640625" style="976" bestFit="1" customWidth="1"/>
    <col min="9" max="9" width="31" style="976" customWidth="1"/>
    <col min="10" max="16384" width="9.33203125" style="976"/>
  </cols>
  <sheetData>
    <row r="1" spans="1:9" ht="23.1" customHeight="1">
      <c r="A1" s="974" t="s">
        <v>40</v>
      </c>
      <c r="B1" s="974" t="s">
        <v>1028</v>
      </c>
      <c r="C1" s="974"/>
      <c r="D1" s="975"/>
      <c r="E1" s="975"/>
      <c r="F1" s="975"/>
      <c r="G1" s="975"/>
      <c r="H1" s="975"/>
      <c r="I1" s="975"/>
    </row>
    <row r="2" spans="1:9" ht="23.1" customHeight="1">
      <c r="A2" s="818">
        <v>210</v>
      </c>
      <c r="B2" s="977" t="s">
        <v>137</v>
      </c>
      <c r="C2" s="974" t="s">
        <v>257</v>
      </c>
      <c r="D2" s="974" t="s">
        <v>814</v>
      </c>
      <c r="E2" s="974" t="s">
        <v>874</v>
      </c>
      <c r="F2" s="974" t="s">
        <v>973</v>
      </c>
      <c r="G2" s="974" t="s">
        <v>1160</v>
      </c>
      <c r="H2" s="974" t="s">
        <v>1320</v>
      </c>
      <c r="I2" s="974" t="s">
        <v>56</v>
      </c>
    </row>
    <row r="3" spans="1:9" ht="23.1" customHeight="1">
      <c r="A3" s="818">
        <v>2110</v>
      </c>
      <c r="B3" s="977" t="s">
        <v>213</v>
      </c>
      <c r="C3" s="978"/>
      <c r="D3" s="978"/>
      <c r="E3" s="978"/>
      <c r="F3" s="978"/>
      <c r="G3" s="978"/>
      <c r="H3" s="978"/>
      <c r="I3" s="978"/>
    </row>
    <row r="4" spans="1:9" ht="23.1" customHeight="1">
      <c r="A4" s="817">
        <v>21101</v>
      </c>
      <c r="B4" s="978" t="s">
        <v>28</v>
      </c>
      <c r="C4" s="978">
        <v>1333394400</v>
      </c>
      <c r="D4" s="978">
        <v>1506304800</v>
      </c>
      <c r="E4" s="978">
        <v>2176649280</v>
      </c>
      <c r="F4" s="978">
        <v>2230712640</v>
      </c>
      <c r="G4" s="978">
        <v>3650474880</v>
      </c>
      <c r="H4" s="978">
        <v>4969096704</v>
      </c>
      <c r="I4" s="978">
        <f>H4-G4</f>
        <v>1318621824</v>
      </c>
    </row>
    <row r="5" spans="1:9" ht="23.1" customHeight="1">
      <c r="A5" s="817">
        <v>21102</v>
      </c>
      <c r="B5" s="978" t="s">
        <v>554</v>
      </c>
      <c r="C5" s="978">
        <v>0</v>
      </c>
      <c r="D5" s="978">
        <v>97200000</v>
      </c>
      <c r="E5" s="978">
        <v>97200000</v>
      </c>
      <c r="F5" s="978">
        <v>672840000</v>
      </c>
      <c r="G5" s="979">
        <v>194400000</v>
      </c>
      <c r="H5" s="979">
        <v>194400000</v>
      </c>
      <c r="I5" s="978">
        <f t="shared" ref="I5:I55" si="0">H5-G5</f>
        <v>0</v>
      </c>
    </row>
    <row r="6" spans="1:9" ht="23.1" customHeight="1">
      <c r="A6" s="817">
        <v>21103</v>
      </c>
      <c r="B6" s="978" t="s">
        <v>565</v>
      </c>
      <c r="C6" s="978">
        <v>61200000</v>
      </c>
      <c r="D6" s="978">
        <v>151200000</v>
      </c>
      <c r="E6" s="978">
        <v>234000000</v>
      </c>
      <c r="F6" s="978">
        <v>234000000</v>
      </c>
      <c r="G6" s="979">
        <v>306000000</v>
      </c>
      <c r="H6" s="979">
        <v>306000000</v>
      </c>
      <c r="I6" s="978">
        <f t="shared" si="0"/>
        <v>0</v>
      </c>
    </row>
    <row r="7" spans="1:9" ht="23.1" customHeight="1">
      <c r="A7" s="817">
        <v>21105</v>
      </c>
      <c r="B7" s="978" t="s">
        <v>1190</v>
      </c>
      <c r="C7" s="978"/>
      <c r="D7" s="978"/>
      <c r="E7" s="978"/>
      <c r="F7" s="978"/>
      <c r="G7" s="979">
        <v>60000000</v>
      </c>
      <c r="H7" s="980">
        <v>96000000</v>
      </c>
      <c r="I7" s="978">
        <f t="shared" si="0"/>
        <v>36000000</v>
      </c>
    </row>
    <row r="8" spans="1:9" ht="23.1" customHeight="1">
      <c r="A8" s="817"/>
      <c r="B8" s="977" t="s">
        <v>92</v>
      </c>
      <c r="C8" s="977">
        <f>SUM(C4:C6)</f>
        <v>1394594400</v>
      </c>
      <c r="D8" s="977">
        <f>SUM(D4:D6)</f>
        <v>1754704800</v>
      </c>
      <c r="E8" s="977">
        <f>SUM(E4:E6)</f>
        <v>2507849280</v>
      </c>
      <c r="F8" s="977">
        <f>SUM(F4:F7)</f>
        <v>3137552640</v>
      </c>
      <c r="G8" s="977">
        <f>SUM(G4:G7)</f>
        <v>4210874880</v>
      </c>
      <c r="H8" s="981">
        <f>SUM(H4:H7)</f>
        <v>5565496704</v>
      </c>
      <c r="I8" s="977">
        <f t="shared" si="0"/>
        <v>1354621824</v>
      </c>
    </row>
    <row r="9" spans="1:9" ht="23.1" customHeight="1">
      <c r="A9" s="818">
        <v>220</v>
      </c>
      <c r="B9" s="977" t="s">
        <v>225</v>
      </c>
      <c r="C9" s="978"/>
      <c r="D9" s="978"/>
      <c r="E9" s="978"/>
      <c r="F9" s="978"/>
      <c r="G9" s="978"/>
      <c r="H9" s="982"/>
      <c r="I9" s="978">
        <f t="shared" si="0"/>
        <v>0</v>
      </c>
    </row>
    <row r="10" spans="1:9" ht="23.1" customHeight="1">
      <c r="A10" s="818">
        <v>2210</v>
      </c>
      <c r="B10" s="977" t="s">
        <v>226</v>
      </c>
      <c r="C10" s="978"/>
      <c r="D10" s="978"/>
      <c r="E10" s="978"/>
      <c r="F10" s="978"/>
      <c r="G10" s="978"/>
      <c r="H10" s="982"/>
      <c r="I10" s="978">
        <f t="shared" si="0"/>
        <v>0</v>
      </c>
    </row>
    <row r="11" spans="1:9" ht="23.1" customHeight="1">
      <c r="A11" s="817">
        <v>22101</v>
      </c>
      <c r="B11" s="978" t="s">
        <v>33</v>
      </c>
      <c r="C11" s="978">
        <v>14180992</v>
      </c>
      <c r="D11" s="978">
        <v>50000000</v>
      </c>
      <c r="E11" s="978">
        <v>70000000</v>
      </c>
      <c r="F11" s="978">
        <v>70000000</v>
      </c>
      <c r="G11" s="978">
        <v>70000000</v>
      </c>
      <c r="H11" s="982">
        <v>70000000</v>
      </c>
      <c r="I11" s="978">
        <f t="shared" si="0"/>
        <v>0</v>
      </c>
    </row>
    <row r="12" spans="1:9" ht="23.1" customHeight="1">
      <c r="A12" s="817">
        <v>22102</v>
      </c>
      <c r="B12" s="978" t="s">
        <v>124</v>
      </c>
      <c r="C12" s="978" t="s">
        <v>4</v>
      </c>
      <c r="D12" s="978">
        <v>0</v>
      </c>
      <c r="E12" s="978">
        <v>0</v>
      </c>
      <c r="F12" s="978">
        <v>0</v>
      </c>
      <c r="G12" s="978">
        <v>0</v>
      </c>
      <c r="H12" s="982">
        <v>0</v>
      </c>
      <c r="I12" s="978">
        <f t="shared" si="0"/>
        <v>0</v>
      </c>
    </row>
    <row r="13" spans="1:9" ht="23.1" customHeight="1">
      <c r="A13" s="817">
        <v>22103</v>
      </c>
      <c r="B13" s="978" t="s">
        <v>125</v>
      </c>
      <c r="C13" s="978">
        <v>0</v>
      </c>
      <c r="D13" s="978">
        <v>0</v>
      </c>
      <c r="E13" s="978">
        <v>0</v>
      </c>
      <c r="F13" s="978">
        <v>0</v>
      </c>
      <c r="G13" s="978">
        <v>0</v>
      </c>
      <c r="H13" s="982">
        <v>0</v>
      </c>
      <c r="I13" s="978">
        <f t="shared" si="0"/>
        <v>0</v>
      </c>
    </row>
    <row r="14" spans="1:9" ht="23.1" customHeight="1">
      <c r="A14" s="817">
        <v>22104</v>
      </c>
      <c r="B14" s="978" t="s">
        <v>157</v>
      </c>
      <c r="C14" s="978">
        <v>54068000</v>
      </c>
      <c r="D14" s="978">
        <f>C14</f>
        <v>54068000</v>
      </c>
      <c r="E14" s="978">
        <f>D14</f>
        <v>54068000</v>
      </c>
      <c r="F14" s="978">
        <f>E14</f>
        <v>54068000</v>
      </c>
      <c r="G14" s="978">
        <v>84068000</v>
      </c>
      <c r="H14" s="982">
        <v>105000000</v>
      </c>
      <c r="I14" s="978">
        <f t="shared" si="0"/>
        <v>20932000</v>
      </c>
    </row>
    <row r="15" spans="1:9" ht="23.1" customHeight="1">
      <c r="A15" s="817">
        <v>22105</v>
      </c>
      <c r="B15" s="978" t="s">
        <v>135</v>
      </c>
      <c r="C15" s="978">
        <v>18946032</v>
      </c>
      <c r="D15" s="978">
        <v>86400000</v>
      </c>
      <c r="E15" s="978">
        <v>66400000</v>
      </c>
      <c r="F15" s="978">
        <v>66400000</v>
      </c>
      <c r="G15" s="978">
        <v>66400000</v>
      </c>
      <c r="H15" s="982">
        <v>86000000</v>
      </c>
      <c r="I15" s="978">
        <f t="shared" si="0"/>
        <v>19600000</v>
      </c>
    </row>
    <row r="16" spans="1:9" ht="23.1" customHeight="1">
      <c r="A16" s="817">
        <v>22106</v>
      </c>
      <c r="B16" s="978" t="s">
        <v>126</v>
      </c>
      <c r="C16" s="978">
        <v>6459947</v>
      </c>
      <c r="D16" s="978">
        <v>0</v>
      </c>
      <c r="E16" s="978">
        <v>0</v>
      </c>
      <c r="F16" s="978">
        <v>0</v>
      </c>
      <c r="G16" s="978">
        <v>0</v>
      </c>
      <c r="H16" s="982">
        <v>100000000</v>
      </c>
      <c r="I16" s="978">
        <f t="shared" si="0"/>
        <v>100000000</v>
      </c>
    </row>
    <row r="17" spans="1:9" ht="23.1" customHeight="1">
      <c r="A17" s="817">
        <v>22107</v>
      </c>
      <c r="B17" s="978" t="s">
        <v>48</v>
      </c>
      <c r="C17" s="978">
        <v>22713600</v>
      </c>
      <c r="D17" s="978">
        <v>20899520</v>
      </c>
      <c r="E17" s="978">
        <v>20899520</v>
      </c>
      <c r="F17" s="978">
        <v>20899520</v>
      </c>
      <c r="G17" s="978">
        <v>20899520</v>
      </c>
      <c r="H17" s="982">
        <v>20899520</v>
      </c>
      <c r="I17" s="978">
        <f t="shared" si="0"/>
        <v>0</v>
      </c>
    </row>
    <row r="18" spans="1:9" ht="23.1" customHeight="1">
      <c r="A18" s="817">
        <v>22108</v>
      </c>
      <c r="B18" s="978" t="s">
        <v>93</v>
      </c>
      <c r="C18" s="978">
        <v>0</v>
      </c>
      <c r="D18" s="978">
        <v>0</v>
      </c>
      <c r="E18" s="978">
        <v>0</v>
      </c>
      <c r="F18" s="978">
        <v>0</v>
      </c>
      <c r="G18" s="978">
        <v>0</v>
      </c>
      <c r="H18" s="982">
        <v>0</v>
      </c>
      <c r="I18" s="978">
        <f t="shared" si="0"/>
        <v>0</v>
      </c>
    </row>
    <row r="19" spans="1:9" ht="23.1" customHeight="1">
      <c r="A19" s="817">
        <v>22109</v>
      </c>
      <c r="B19" s="978" t="s">
        <v>136</v>
      </c>
      <c r="C19" s="978">
        <v>5509700</v>
      </c>
      <c r="D19" s="978">
        <f>C19</f>
        <v>5509700</v>
      </c>
      <c r="E19" s="978">
        <f>D19</f>
        <v>5509700</v>
      </c>
      <c r="F19" s="978">
        <f>E19</f>
        <v>5509700</v>
      </c>
      <c r="G19" s="978">
        <f>F19</f>
        <v>5509700</v>
      </c>
      <c r="H19" s="982">
        <v>15000000</v>
      </c>
      <c r="I19" s="978">
        <f t="shared" si="0"/>
        <v>9490300</v>
      </c>
    </row>
    <row r="20" spans="1:9" ht="23.1" customHeight="1">
      <c r="A20" s="817">
        <v>22112</v>
      </c>
      <c r="B20" s="978" t="s">
        <v>35</v>
      </c>
      <c r="C20" s="978">
        <v>18098080</v>
      </c>
      <c r="D20" s="978">
        <f>C20</f>
        <v>18098080</v>
      </c>
      <c r="E20" s="978">
        <v>28098080</v>
      </c>
      <c r="F20" s="978">
        <v>53098080</v>
      </c>
      <c r="G20" s="978">
        <v>53098080</v>
      </c>
      <c r="H20" s="982">
        <v>53098080</v>
      </c>
      <c r="I20" s="978">
        <f t="shared" si="0"/>
        <v>0</v>
      </c>
    </row>
    <row r="21" spans="1:9" ht="23.1" customHeight="1">
      <c r="A21" s="817">
        <v>22120</v>
      </c>
      <c r="B21" s="978" t="s">
        <v>275</v>
      </c>
      <c r="C21" s="978">
        <v>131600000</v>
      </c>
      <c r="D21" s="978">
        <f>188000000*70%</f>
        <v>131599999.99999999</v>
      </c>
      <c r="E21" s="978">
        <f>188000000*70%</f>
        <v>131599999.99999999</v>
      </c>
      <c r="F21" s="978">
        <v>106600000</v>
      </c>
      <c r="G21" s="978">
        <v>106600000</v>
      </c>
      <c r="H21" s="982">
        <v>106600000</v>
      </c>
      <c r="I21" s="978">
        <f t="shared" si="0"/>
        <v>0</v>
      </c>
    </row>
    <row r="22" spans="1:9" ht="23.1" customHeight="1">
      <c r="A22" s="817">
        <v>22125</v>
      </c>
      <c r="B22" s="978" t="s">
        <v>1191</v>
      </c>
      <c r="C22" s="978"/>
      <c r="D22" s="978"/>
      <c r="E22" s="978"/>
      <c r="F22" s="978"/>
      <c r="G22" s="978">
        <v>80000000</v>
      </c>
      <c r="H22" s="982">
        <v>140000000</v>
      </c>
      <c r="I22" s="978">
        <f t="shared" si="0"/>
        <v>60000000</v>
      </c>
    </row>
    <row r="23" spans="1:9" ht="23.1" customHeight="1">
      <c r="A23" s="817">
        <v>22132</v>
      </c>
      <c r="B23" s="978" t="s">
        <v>187</v>
      </c>
      <c r="C23" s="978">
        <v>109408096</v>
      </c>
      <c r="D23" s="978">
        <v>0</v>
      </c>
      <c r="E23" s="978">
        <v>0</v>
      </c>
      <c r="F23" s="978">
        <v>0</v>
      </c>
      <c r="G23" s="978">
        <v>0</v>
      </c>
      <c r="H23" s="982">
        <v>0</v>
      </c>
      <c r="I23" s="978">
        <f t="shared" si="0"/>
        <v>0</v>
      </c>
    </row>
    <row r="24" spans="1:9" ht="23.1" customHeight="1">
      <c r="A24" s="817">
        <v>22134</v>
      </c>
      <c r="B24" s="978" t="s">
        <v>142</v>
      </c>
      <c r="C24" s="978">
        <v>0</v>
      </c>
      <c r="D24" s="978">
        <v>0</v>
      </c>
      <c r="E24" s="978">
        <v>0</v>
      </c>
      <c r="F24" s="978">
        <v>0</v>
      </c>
      <c r="G24" s="978">
        <v>0</v>
      </c>
      <c r="H24" s="982">
        <v>0</v>
      </c>
      <c r="I24" s="978">
        <f t="shared" si="0"/>
        <v>0</v>
      </c>
    </row>
    <row r="25" spans="1:9" ht="23.1" customHeight="1">
      <c r="A25" s="817">
        <v>22137</v>
      </c>
      <c r="B25" s="978" t="s">
        <v>1211</v>
      </c>
      <c r="C25" s="978"/>
      <c r="D25" s="978"/>
      <c r="E25" s="978"/>
      <c r="F25" s="978">
        <v>0</v>
      </c>
      <c r="G25" s="978">
        <v>70000000</v>
      </c>
      <c r="H25" s="982">
        <v>170000000</v>
      </c>
      <c r="I25" s="978">
        <f t="shared" si="0"/>
        <v>100000000</v>
      </c>
    </row>
    <row r="26" spans="1:9" ht="23.1" customHeight="1">
      <c r="A26" s="817">
        <v>22151</v>
      </c>
      <c r="B26" s="978" t="s">
        <v>504</v>
      </c>
      <c r="C26" s="978">
        <v>0</v>
      </c>
      <c r="D26" s="978">
        <v>150000000</v>
      </c>
      <c r="E26" s="978">
        <v>150000000</v>
      </c>
      <c r="F26" s="978">
        <v>150000000</v>
      </c>
      <c r="G26" s="978">
        <v>200000000</v>
      </c>
      <c r="H26" s="982">
        <v>300000000</v>
      </c>
      <c r="I26" s="978">
        <f t="shared" si="0"/>
        <v>100000000</v>
      </c>
    </row>
    <row r="27" spans="1:9" ht="23.1" customHeight="1">
      <c r="A27" s="817">
        <v>22151</v>
      </c>
      <c r="B27" s="978" t="s">
        <v>1394</v>
      </c>
      <c r="C27" s="978"/>
      <c r="D27" s="978"/>
      <c r="E27" s="978"/>
      <c r="F27" s="978"/>
      <c r="G27" s="978"/>
      <c r="H27" s="982">
        <v>1200000000</v>
      </c>
      <c r="I27" s="978"/>
    </row>
    <row r="28" spans="1:9" ht="23.1" customHeight="1">
      <c r="A28" s="817">
        <v>22164</v>
      </c>
      <c r="B28" s="978" t="s">
        <v>856</v>
      </c>
      <c r="C28" s="978"/>
      <c r="D28" s="978">
        <v>100000000</v>
      </c>
      <c r="E28" s="978">
        <v>230000000</v>
      </c>
      <c r="F28" s="978">
        <v>230000000</v>
      </c>
      <c r="G28" s="978">
        <v>460000000</v>
      </c>
      <c r="H28" s="982">
        <v>660000000</v>
      </c>
      <c r="I28" s="978">
        <f t="shared" si="0"/>
        <v>200000000</v>
      </c>
    </row>
    <row r="29" spans="1:9" ht="23.1" customHeight="1">
      <c r="A29" s="817"/>
      <c r="B29" s="977" t="s">
        <v>92</v>
      </c>
      <c r="C29" s="977">
        <f>SUM(C11:C26)</f>
        <v>380984447</v>
      </c>
      <c r="D29" s="977">
        <f>SUM(D11:D28)</f>
        <v>616575300</v>
      </c>
      <c r="E29" s="977">
        <f>SUM(E11:E28)</f>
        <v>756575300</v>
      </c>
      <c r="F29" s="977">
        <f>SUM(F11:F28)</f>
        <v>756575300</v>
      </c>
      <c r="G29" s="977">
        <f>SUM(G11:G28)</f>
        <v>1216575300</v>
      </c>
      <c r="H29" s="981">
        <f>SUM(H11:H28)</f>
        <v>3026597600</v>
      </c>
      <c r="I29" s="977">
        <f t="shared" si="0"/>
        <v>1810022300</v>
      </c>
    </row>
    <row r="30" spans="1:9" ht="23.1" customHeight="1">
      <c r="A30" s="818">
        <v>2220</v>
      </c>
      <c r="B30" s="977" t="s">
        <v>240</v>
      </c>
      <c r="C30" s="978"/>
      <c r="D30" s="978"/>
      <c r="E30" s="978"/>
      <c r="F30" s="978"/>
      <c r="G30" s="978"/>
      <c r="H30" s="982"/>
      <c r="I30" s="978">
        <f t="shared" si="0"/>
        <v>0</v>
      </c>
    </row>
    <row r="31" spans="1:9" ht="23.1" customHeight="1">
      <c r="A31" s="817">
        <v>22201</v>
      </c>
      <c r="B31" s="978" t="s">
        <v>132</v>
      </c>
      <c r="C31" s="978">
        <v>0</v>
      </c>
      <c r="D31" s="978">
        <v>0</v>
      </c>
      <c r="E31" s="978">
        <v>0</v>
      </c>
      <c r="F31" s="978">
        <v>0</v>
      </c>
      <c r="G31" s="978">
        <v>0</v>
      </c>
      <c r="H31" s="982">
        <v>0</v>
      </c>
      <c r="I31" s="978">
        <f t="shared" si="0"/>
        <v>0</v>
      </c>
    </row>
    <row r="32" spans="1:9" ht="23.1" customHeight="1">
      <c r="A32" s="817">
        <v>22202</v>
      </c>
      <c r="B32" s="978" t="s">
        <v>133</v>
      </c>
      <c r="C32" s="978">
        <v>217000000</v>
      </c>
      <c r="D32" s="978">
        <v>248000000</v>
      </c>
      <c r="E32" s="978">
        <v>280000000</v>
      </c>
      <c r="F32" s="978">
        <v>330000000</v>
      </c>
      <c r="G32" s="978">
        <v>400000000</v>
      </c>
      <c r="H32" s="982">
        <v>500000000</v>
      </c>
      <c r="I32" s="978">
        <f t="shared" si="0"/>
        <v>100000000</v>
      </c>
    </row>
    <row r="33" spans="1:9" ht="23.1" customHeight="1">
      <c r="A33" s="817">
        <v>22203</v>
      </c>
      <c r="B33" s="978" t="s">
        <v>127</v>
      </c>
      <c r="C33" s="983">
        <v>22339840</v>
      </c>
      <c r="D33" s="983">
        <v>30000000</v>
      </c>
      <c r="E33" s="983">
        <v>30000000</v>
      </c>
      <c r="F33" s="983">
        <v>30000000</v>
      </c>
      <c r="G33" s="983">
        <v>50000000</v>
      </c>
      <c r="H33" s="984">
        <v>50000000</v>
      </c>
      <c r="I33" s="978">
        <f t="shared" si="0"/>
        <v>0</v>
      </c>
    </row>
    <row r="34" spans="1:9" ht="23.1" customHeight="1">
      <c r="A34" s="817">
        <v>22204</v>
      </c>
      <c r="B34" s="978" t="s">
        <v>128</v>
      </c>
      <c r="C34" s="983">
        <v>5213600</v>
      </c>
      <c r="D34" s="983">
        <f>C34</f>
        <v>5213600</v>
      </c>
      <c r="E34" s="983">
        <f>D34</f>
        <v>5213600</v>
      </c>
      <c r="F34" s="983">
        <f>E34</f>
        <v>5213600</v>
      </c>
      <c r="G34" s="983">
        <f>F34</f>
        <v>5213600</v>
      </c>
      <c r="H34" s="984">
        <f>G34</f>
        <v>5213600</v>
      </c>
      <c r="I34" s="978">
        <f t="shared" si="0"/>
        <v>0</v>
      </c>
    </row>
    <row r="35" spans="1:9" ht="23.1" customHeight="1">
      <c r="A35" s="817">
        <v>22216</v>
      </c>
      <c r="B35" s="978" t="s">
        <v>433</v>
      </c>
      <c r="C35" s="983" t="s">
        <v>4</v>
      </c>
      <c r="D35" s="983">
        <v>0</v>
      </c>
      <c r="E35" s="983">
        <v>0</v>
      </c>
      <c r="F35" s="983">
        <v>0</v>
      </c>
      <c r="G35" s="983">
        <v>0</v>
      </c>
      <c r="H35" s="984">
        <v>0</v>
      </c>
      <c r="I35" s="978">
        <f t="shared" si="0"/>
        <v>0</v>
      </c>
    </row>
    <row r="36" spans="1:9" ht="23.1" customHeight="1">
      <c r="A36" s="817"/>
      <c r="B36" s="977" t="s">
        <v>92</v>
      </c>
      <c r="C36" s="977">
        <f t="shared" ref="C36:H36" si="1">SUM(C31:C35)</f>
        <v>244553440</v>
      </c>
      <c r="D36" s="977">
        <f t="shared" si="1"/>
        <v>283213600</v>
      </c>
      <c r="E36" s="977">
        <f t="shared" si="1"/>
        <v>315213600</v>
      </c>
      <c r="F36" s="977">
        <f t="shared" si="1"/>
        <v>365213600</v>
      </c>
      <c r="G36" s="977">
        <f t="shared" si="1"/>
        <v>455213600</v>
      </c>
      <c r="H36" s="981">
        <f t="shared" si="1"/>
        <v>555213600</v>
      </c>
      <c r="I36" s="977">
        <f t="shared" si="0"/>
        <v>100000000</v>
      </c>
    </row>
    <row r="37" spans="1:9" ht="23.1" customHeight="1">
      <c r="A37" s="818">
        <v>2230</v>
      </c>
      <c r="B37" s="977" t="s">
        <v>130</v>
      </c>
      <c r="C37" s="978"/>
      <c r="D37" s="978"/>
      <c r="E37" s="978"/>
      <c r="F37" s="978"/>
      <c r="G37" s="978"/>
      <c r="H37" s="982"/>
      <c r="I37" s="978">
        <f t="shared" si="0"/>
        <v>0</v>
      </c>
    </row>
    <row r="38" spans="1:9" ht="23.1" customHeight="1">
      <c r="A38" s="817">
        <v>22301</v>
      </c>
      <c r="B38" s="978" t="s">
        <v>49</v>
      </c>
      <c r="C38" s="985">
        <v>55708800</v>
      </c>
      <c r="D38" s="985">
        <f t="shared" ref="D38:H40" si="2">C38</f>
        <v>55708800</v>
      </c>
      <c r="E38" s="985">
        <v>60708800</v>
      </c>
      <c r="F38" s="985">
        <v>60708800</v>
      </c>
      <c r="G38" s="985">
        <v>100708800</v>
      </c>
      <c r="H38" s="986">
        <v>151000000</v>
      </c>
      <c r="I38" s="978">
        <f t="shared" si="0"/>
        <v>50291200</v>
      </c>
    </row>
    <row r="39" spans="1:9" ht="23.1" customHeight="1">
      <c r="A39" s="817">
        <v>22302</v>
      </c>
      <c r="B39" s="978" t="s">
        <v>249</v>
      </c>
      <c r="C39" s="985">
        <v>2083440</v>
      </c>
      <c r="D39" s="985">
        <f t="shared" si="2"/>
        <v>2083440</v>
      </c>
      <c r="E39" s="985">
        <f t="shared" si="2"/>
        <v>2083440</v>
      </c>
      <c r="F39" s="985">
        <f t="shared" si="2"/>
        <v>2083440</v>
      </c>
      <c r="G39" s="985">
        <f t="shared" si="2"/>
        <v>2083440</v>
      </c>
      <c r="H39" s="986">
        <f t="shared" si="2"/>
        <v>2083440</v>
      </c>
      <c r="I39" s="978">
        <f t="shared" si="0"/>
        <v>0</v>
      </c>
    </row>
    <row r="40" spans="1:9" ht="23.1" customHeight="1">
      <c r="A40" s="817">
        <v>22313</v>
      </c>
      <c r="B40" s="978" t="s">
        <v>251</v>
      </c>
      <c r="C40" s="985">
        <v>2085440</v>
      </c>
      <c r="D40" s="985">
        <f t="shared" si="2"/>
        <v>2085440</v>
      </c>
      <c r="E40" s="985">
        <f t="shared" si="2"/>
        <v>2085440</v>
      </c>
      <c r="F40" s="985">
        <f t="shared" si="2"/>
        <v>2085440</v>
      </c>
      <c r="G40" s="985">
        <f t="shared" si="2"/>
        <v>2085440</v>
      </c>
      <c r="H40" s="986">
        <f t="shared" si="2"/>
        <v>2085440</v>
      </c>
      <c r="I40" s="978">
        <f t="shared" si="0"/>
        <v>0</v>
      </c>
    </row>
    <row r="41" spans="1:9" ht="23.1" customHeight="1">
      <c r="A41" s="817"/>
      <c r="B41" s="977" t="s">
        <v>92</v>
      </c>
      <c r="C41" s="987">
        <f t="shared" ref="C41:H41" si="3">SUM(C38:C40)</f>
        <v>59877680</v>
      </c>
      <c r="D41" s="987">
        <f t="shared" si="3"/>
        <v>59877680</v>
      </c>
      <c r="E41" s="987">
        <f t="shared" si="3"/>
        <v>64877680</v>
      </c>
      <c r="F41" s="987">
        <f t="shared" si="3"/>
        <v>64877680</v>
      </c>
      <c r="G41" s="987">
        <f t="shared" si="3"/>
        <v>104877680</v>
      </c>
      <c r="H41" s="988">
        <f t="shared" si="3"/>
        <v>155168880</v>
      </c>
      <c r="I41" s="977">
        <f t="shared" si="0"/>
        <v>50291200</v>
      </c>
    </row>
    <row r="42" spans="1:9" ht="23.1" customHeight="1">
      <c r="A42" s="818">
        <v>270</v>
      </c>
      <c r="B42" s="977" t="s">
        <v>253</v>
      </c>
      <c r="C42" s="985"/>
      <c r="D42" s="985"/>
      <c r="E42" s="985"/>
      <c r="F42" s="985"/>
      <c r="G42" s="985"/>
      <c r="H42" s="986"/>
      <c r="I42" s="978">
        <f t="shared" si="0"/>
        <v>0</v>
      </c>
    </row>
    <row r="43" spans="1:9" ht="23.1" customHeight="1">
      <c r="A43" s="818">
        <v>2710</v>
      </c>
      <c r="B43" s="977" t="s">
        <v>252</v>
      </c>
      <c r="C43" s="985"/>
      <c r="D43" s="985"/>
      <c r="E43" s="985"/>
      <c r="F43" s="985"/>
      <c r="G43" s="985"/>
      <c r="H43" s="986"/>
      <c r="I43" s="978">
        <f t="shared" si="0"/>
        <v>0</v>
      </c>
    </row>
    <row r="44" spans="1:9" ht="23.1" customHeight="1">
      <c r="A44" s="817">
        <v>27601</v>
      </c>
      <c r="B44" s="978" t="s">
        <v>264</v>
      </c>
      <c r="C44" s="985">
        <v>11827200</v>
      </c>
      <c r="D44" s="985">
        <v>0</v>
      </c>
      <c r="E44" s="985">
        <v>0</v>
      </c>
      <c r="F44" s="985">
        <v>0</v>
      </c>
      <c r="G44" s="985">
        <v>0</v>
      </c>
      <c r="H44" s="986">
        <v>0</v>
      </c>
      <c r="I44" s="978">
        <f t="shared" si="0"/>
        <v>0</v>
      </c>
    </row>
    <row r="45" spans="1:9" ht="23.1" customHeight="1">
      <c r="A45" s="817">
        <v>27402</v>
      </c>
      <c r="B45" s="978" t="s">
        <v>1210</v>
      </c>
      <c r="C45" s="985">
        <v>72000000</v>
      </c>
      <c r="D45" s="985">
        <v>96000000</v>
      </c>
      <c r="E45" s="985">
        <v>102000000</v>
      </c>
      <c r="F45" s="985">
        <v>0</v>
      </c>
      <c r="G45" s="985">
        <v>470000000</v>
      </c>
      <c r="H45" s="986">
        <v>0</v>
      </c>
      <c r="I45" s="978">
        <f t="shared" si="0"/>
        <v>-470000000</v>
      </c>
    </row>
    <row r="46" spans="1:9" ht="23.1" customHeight="1">
      <c r="A46" s="817">
        <v>27502</v>
      </c>
      <c r="B46" s="978" t="s">
        <v>148</v>
      </c>
      <c r="C46" s="985">
        <v>1564080</v>
      </c>
      <c r="D46" s="985">
        <v>0</v>
      </c>
      <c r="E46" s="985">
        <v>0</v>
      </c>
      <c r="F46" s="985">
        <v>0</v>
      </c>
      <c r="G46" s="985">
        <v>0</v>
      </c>
      <c r="H46" s="986">
        <v>0</v>
      </c>
      <c r="I46" s="978">
        <f t="shared" si="0"/>
        <v>0</v>
      </c>
    </row>
    <row r="47" spans="1:9" ht="23.1" customHeight="1">
      <c r="A47" s="817">
        <v>27604</v>
      </c>
      <c r="B47" s="978" t="s">
        <v>149</v>
      </c>
      <c r="C47" s="985">
        <f>4468800*70%</f>
        <v>3128160</v>
      </c>
      <c r="D47" s="985">
        <v>0</v>
      </c>
      <c r="E47" s="985">
        <v>0</v>
      </c>
      <c r="F47" s="985">
        <v>0</v>
      </c>
      <c r="G47" s="985">
        <v>0</v>
      </c>
      <c r="H47" s="986">
        <v>0</v>
      </c>
      <c r="I47" s="978">
        <f t="shared" si="0"/>
        <v>0</v>
      </c>
    </row>
    <row r="48" spans="1:9" ht="23.1" customHeight="1">
      <c r="A48" s="817"/>
      <c r="B48" s="977" t="s">
        <v>92</v>
      </c>
      <c r="C48" s="987">
        <f t="shared" ref="C48:H48" si="4">SUM(C44:C47)</f>
        <v>88519440</v>
      </c>
      <c r="D48" s="987">
        <f t="shared" si="4"/>
        <v>96000000</v>
      </c>
      <c r="E48" s="987">
        <f t="shared" si="4"/>
        <v>102000000</v>
      </c>
      <c r="F48" s="987">
        <f t="shared" si="4"/>
        <v>0</v>
      </c>
      <c r="G48" s="987">
        <f t="shared" si="4"/>
        <v>470000000</v>
      </c>
      <c r="H48" s="988">
        <f t="shared" si="4"/>
        <v>0</v>
      </c>
      <c r="I48" s="977">
        <f t="shared" si="0"/>
        <v>-470000000</v>
      </c>
    </row>
    <row r="49" spans="1:9" ht="23.1" customHeight="1">
      <c r="A49" s="818">
        <v>2720</v>
      </c>
      <c r="B49" s="977" t="s">
        <v>469</v>
      </c>
      <c r="C49" s="987"/>
      <c r="D49" s="987"/>
      <c r="E49" s="987"/>
      <c r="F49" s="987"/>
      <c r="G49" s="987"/>
      <c r="H49" s="988"/>
      <c r="I49" s="978">
        <f t="shared" si="0"/>
        <v>0</v>
      </c>
    </row>
    <row r="50" spans="1:9" ht="23.1" customHeight="1">
      <c r="A50" s="817">
        <v>27202</v>
      </c>
      <c r="B50" s="978" t="s">
        <v>503</v>
      </c>
      <c r="C50" s="987">
        <v>0</v>
      </c>
      <c r="D50" s="985">
        <v>0</v>
      </c>
      <c r="E50" s="985">
        <v>1468000000</v>
      </c>
      <c r="F50" s="985">
        <v>910000000</v>
      </c>
      <c r="G50" s="985">
        <v>0</v>
      </c>
      <c r="H50" s="986">
        <v>0</v>
      </c>
      <c r="I50" s="978">
        <f t="shared" si="0"/>
        <v>0</v>
      </c>
    </row>
    <row r="51" spans="1:9" ht="23.1" customHeight="1">
      <c r="A51" s="817"/>
      <c r="B51" s="977" t="s">
        <v>92</v>
      </c>
      <c r="C51" s="987">
        <v>0</v>
      </c>
      <c r="D51" s="987">
        <f>SUM(D50:D50)</f>
        <v>0</v>
      </c>
      <c r="E51" s="987">
        <f>SUM(E50:E50)</f>
        <v>1468000000</v>
      </c>
      <c r="F51" s="987">
        <f>SUM(F50:F50)</f>
        <v>910000000</v>
      </c>
      <c r="G51" s="987">
        <f>SUM(G50:G50)</f>
        <v>0</v>
      </c>
      <c r="H51" s="987">
        <f>SUM(H50:H50)</f>
        <v>0</v>
      </c>
      <c r="I51" s="977">
        <f t="shared" si="0"/>
        <v>0</v>
      </c>
    </row>
    <row r="52" spans="1:9" ht="23.1" customHeight="1">
      <c r="A52" s="817">
        <v>29320</v>
      </c>
      <c r="B52" s="977" t="s">
        <v>1490</v>
      </c>
      <c r="C52" s="987"/>
      <c r="D52" s="987"/>
      <c r="E52" s="987"/>
      <c r="F52" s="987"/>
      <c r="G52" s="987"/>
      <c r="H52" s="987"/>
      <c r="I52" s="977"/>
    </row>
    <row r="53" spans="1:9" ht="23.1" customHeight="1">
      <c r="A53" s="817">
        <v>29324</v>
      </c>
      <c r="B53" s="978" t="s">
        <v>1492</v>
      </c>
      <c r="C53" s="987"/>
      <c r="D53" s="987"/>
      <c r="E53" s="987"/>
      <c r="F53" s="987"/>
      <c r="G53" s="987">
        <v>0</v>
      </c>
      <c r="H53" s="985">
        <v>4360421940</v>
      </c>
      <c r="I53" s="977"/>
    </row>
    <row r="54" spans="1:9" ht="23.1" customHeight="1">
      <c r="A54" s="817"/>
      <c r="B54" s="977" t="s">
        <v>92</v>
      </c>
      <c r="C54" s="987"/>
      <c r="D54" s="987"/>
      <c r="E54" s="987"/>
      <c r="F54" s="987"/>
      <c r="G54" s="987"/>
      <c r="H54" s="987">
        <f>SUM(H53)</f>
        <v>4360421940</v>
      </c>
      <c r="I54" s="977"/>
    </row>
    <row r="55" spans="1:9" ht="32.25" customHeight="1">
      <c r="A55" s="817"/>
      <c r="B55" s="977" t="s">
        <v>37</v>
      </c>
      <c r="C55" s="987">
        <f>C48+C41+C36+C29+C8</f>
        <v>2168529407</v>
      </c>
      <c r="D55" s="987">
        <f>D51+D41+D36+D29+D8+D48</f>
        <v>2810371380</v>
      </c>
      <c r="E55" s="987">
        <f>E51+E41+E36+E29+E8+E48</f>
        <v>5214515860</v>
      </c>
      <c r="F55" s="987">
        <f>F51+F41+F36+F29+F8+F48</f>
        <v>5234219220</v>
      </c>
      <c r="G55" s="987">
        <f>G51+G41+G36+G29+G8+G48</f>
        <v>6457541460</v>
      </c>
      <c r="H55" s="987">
        <f>H51+H41+H36+H29+H8+H48+H54</f>
        <v>13662898724</v>
      </c>
      <c r="I55" s="977">
        <f t="shared" si="0"/>
        <v>7205357264</v>
      </c>
    </row>
    <row r="59" spans="1:9" ht="23.1" customHeight="1">
      <c r="B59" s="989"/>
      <c r="C59" s="989"/>
      <c r="D59" s="989"/>
      <c r="E59" s="989"/>
      <c r="F59" s="989"/>
      <c r="G59" s="989"/>
      <c r="H59" s="989"/>
      <c r="I59" s="989"/>
    </row>
    <row r="60" spans="1:9" ht="23.1" customHeight="1">
      <c r="C60" s="989"/>
      <c r="D60" s="990"/>
      <c r="E60" s="990"/>
      <c r="F60" s="990"/>
      <c r="G60" s="990"/>
      <c r="H60" s="990"/>
      <c r="I60" s="990"/>
    </row>
    <row r="61" spans="1:9" ht="23.1" customHeight="1">
      <c r="C61" s="989"/>
      <c r="D61" s="989"/>
      <c r="E61" s="989"/>
      <c r="F61" s="989"/>
      <c r="G61" s="989"/>
      <c r="H61" s="989"/>
      <c r="I61" s="989"/>
    </row>
    <row r="62" spans="1:9" ht="23.1" customHeight="1">
      <c r="D62" s="991" t="s">
        <v>4</v>
      </c>
      <c r="E62" s="991"/>
      <c r="F62" s="991"/>
      <c r="G62" s="991"/>
      <c r="H62" s="991"/>
      <c r="I62" s="991"/>
    </row>
    <row r="64" spans="1:9" ht="23.1" customHeight="1">
      <c r="D64" s="990"/>
      <c r="E64" s="990"/>
      <c r="F64" s="990"/>
      <c r="G64" s="990"/>
      <c r="H64" s="990"/>
      <c r="I64" s="990"/>
    </row>
  </sheetData>
  <pageMargins left="0.7" right="0.7" top="0.75" bottom="0.75" header="0.3" footer="0.3"/>
  <pageSetup scale="52" orientation="portrait" r:id="rId1"/>
  <headerFooter>
    <oddHeader>&amp;C&amp;"Algerian,Bold"&amp;26WASAARADdA DEEGAANKA IYO HORUMARINTA REER MIYIGA</oddHeader>
    <oddFooter>&amp;R&amp;"Times New Roman,Bold"&amp;12 58</oddFooter>
  </headerFooter>
  <rowBreaks count="1" manualBreakCount="1">
    <brk id="55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34" zoomScale="60" workbookViewId="0">
      <selection activeCell="H44" sqref="H44"/>
    </sheetView>
  </sheetViews>
  <sheetFormatPr defaultRowHeight="12.75"/>
  <cols>
    <col min="1" max="1" width="19" style="660" bestFit="1" customWidth="1"/>
    <col min="2" max="2" width="82.6640625" style="399" customWidth="1"/>
    <col min="3" max="3" width="15.33203125" style="399" hidden="1" customWidth="1"/>
    <col min="4" max="6" width="27.6640625" style="399" hidden="1" customWidth="1"/>
    <col min="7" max="9" width="27.6640625" style="399" customWidth="1"/>
    <col min="10" max="16384" width="9.33203125" style="399"/>
  </cols>
  <sheetData>
    <row r="1" spans="1:9" ht="29.1" customHeight="1">
      <c r="A1" s="677" t="s">
        <v>39</v>
      </c>
      <c r="B1" s="477" t="s">
        <v>1029</v>
      </c>
      <c r="C1" s="477"/>
      <c r="D1" s="280"/>
      <c r="E1" s="280"/>
      <c r="F1" s="280"/>
      <c r="G1" s="280"/>
      <c r="H1" s="280"/>
      <c r="I1" s="280"/>
    </row>
    <row r="2" spans="1:9" ht="29.1" customHeight="1">
      <c r="A2" s="476">
        <v>210</v>
      </c>
      <c r="B2" s="280" t="s">
        <v>137</v>
      </c>
      <c r="C2" s="280" t="s">
        <v>511</v>
      </c>
      <c r="D2" s="280" t="s">
        <v>806</v>
      </c>
      <c r="E2" s="280" t="s">
        <v>872</v>
      </c>
      <c r="F2" s="280" t="s">
        <v>973</v>
      </c>
      <c r="G2" s="280" t="s">
        <v>1160</v>
      </c>
      <c r="H2" s="280" t="s">
        <v>1320</v>
      </c>
      <c r="I2" s="280" t="s">
        <v>56</v>
      </c>
    </row>
    <row r="3" spans="1:9" ht="29.1" customHeight="1">
      <c r="A3" s="476">
        <v>2110</v>
      </c>
      <c r="B3" s="280" t="s">
        <v>213</v>
      </c>
      <c r="C3" s="280"/>
      <c r="D3" s="246"/>
      <c r="E3" s="246"/>
      <c r="F3" s="246"/>
      <c r="G3" s="246"/>
      <c r="H3" s="246"/>
      <c r="I3" s="246"/>
    </row>
    <row r="4" spans="1:9" ht="29.1" customHeight="1">
      <c r="A4" s="392">
        <v>21102</v>
      </c>
      <c r="B4" s="246" t="s">
        <v>370</v>
      </c>
      <c r="C4" s="246">
        <v>0</v>
      </c>
      <c r="D4" s="246">
        <v>381600000</v>
      </c>
      <c r="E4" s="246">
        <v>381600000</v>
      </c>
      <c r="F4" s="246">
        <v>381600000</v>
      </c>
      <c r="G4" s="246">
        <v>381600000</v>
      </c>
      <c r="H4" s="246">
        <v>381600000</v>
      </c>
      <c r="I4" s="246">
        <f>H4-G4</f>
        <v>0</v>
      </c>
    </row>
    <row r="5" spans="1:9" ht="29.1" customHeight="1">
      <c r="A5" s="392">
        <v>21102</v>
      </c>
      <c r="B5" s="246" t="s">
        <v>512</v>
      </c>
      <c r="C5" s="246">
        <v>0</v>
      </c>
      <c r="D5" s="246">
        <v>819000000</v>
      </c>
      <c r="E5" s="246">
        <v>1008000000</v>
      </c>
      <c r="F5" s="246">
        <v>1008000000</v>
      </c>
      <c r="G5" s="246">
        <v>1008000000</v>
      </c>
      <c r="H5" s="246">
        <v>1008000000</v>
      </c>
      <c r="I5" s="246">
        <f t="shared" ref="I5:I44" si="0">H5-G5</f>
        <v>0</v>
      </c>
    </row>
    <row r="6" spans="1:9" ht="29.1" customHeight="1">
      <c r="A6" s="392">
        <v>21103</v>
      </c>
      <c r="B6" s="246" t="s">
        <v>347</v>
      </c>
      <c r="C6" s="246">
        <v>0</v>
      </c>
      <c r="D6" s="246">
        <v>126000000</v>
      </c>
      <c r="E6" s="246">
        <v>126000000</v>
      </c>
      <c r="F6" s="246">
        <v>126000000</v>
      </c>
      <c r="G6" s="246">
        <v>126000000</v>
      </c>
      <c r="H6" s="840">
        <v>126000000</v>
      </c>
      <c r="I6" s="246">
        <f t="shared" si="0"/>
        <v>0</v>
      </c>
    </row>
    <row r="7" spans="1:9" ht="29.1" customHeight="1">
      <c r="A7" s="392"/>
      <c r="B7" s="280" t="s">
        <v>92</v>
      </c>
      <c r="C7" s="246">
        <v>0</v>
      </c>
      <c r="D7" s="280">
        <f>SUM(D4:D6)</f>
        <v>1326600000</v>
      </c>
      <c r="E7" s="280">
        <f>SUM(E4:E6)</f>
        <v>1515600000</v>
      </c>
      <c r="F7" s="280">
        <f>SUM(F4:F6)</f>
        <v>1515600000</v>
      </c>
      <c r="G7" s="280">
        <f>SUM(G4:G6)</f>
        <v>1515600000</v>
      </c>
      <c r="H7" s="851">
        <f>SUM(H4:H6)</f>
        <v>1515600000</v>
      </c>
      <c r="I7" s="280">
        <f t="shared" si="0"/>
        <v>0</v>
      </c>
    </row>
    <row r="8" spans="1:9" ht="29.1" customHeight="1">
      <c r="A8" s="476">
        <v>220</v>
      </c>
      <c r="B8" s="280" t="s">
        <v>225</v>
      </c>
      <c r="C8" s="246">
        <v>0</v>
      </c>
      <c r="D8" s="246"/>
      <c r="E8" s="246"/>
      <c r="F8" s="246"/>
      <c r="G8" s="246"/>
      <c r="H8" s="840"/>
      <c r="I8" s="246">
        <f t="shared" si="0"/>
        <v>0</v>
      </c>
    </row>
    <row r="9" spans="1:9" ht="29.1" customHeight="1">
      <c r="A9" s="476">
        <v>2210</v>
      </c>
      <c r="B9" s="280" t="s">
        <v>226</v>
      </c>
      <c r="C9" s="246">
        <v>0</v>
      </c>
      <c r="D9" s="246"/>
      <c r="E9" s="246"/>
      <c r="F9" s="246"/>
      <c r="G9" s="246"/>
      <c r="H9" s="840"/>
      <c r="I9" s="246">
        <f t="shared" si="0"/>
        <v>0</v>
      </c>
    </row>
    <row r="10" spans="1:9" ht="29.1" customHeight="1">
      <c r="A10" s="392">
        <v>22101</v>
      </c>
      <c r="B10" s="246" t="s">
        <v>33</v>
      </c>
      <c r="C10" s="246">
        <v>0</v>
      </c>
      <c r="D10" s="246">
        <v>100000000</v>
      </c>
      <c r="E10" s="246">
        <v>100000000</v>
      </c>
      <c r="F10" s="246">
        <v>50000000</v>
      </c>
      <c r="G10" s="246">
        <v>50000000</v>
      </c>
      <c r="H10" s="840">
        <v>100000000</v>
      </c>
      <c r="I10" s="246">
        <f t="shared" si="0"/>
        <v>50000000</v>
      </c>
    </row>
    <row r="11" spans="1:9" ht="29.1" customHeight="1">
      <c r="A11" s="392">
        <v>22102</v>
      </c>
      <c r="B11" s="246" t="s">
        <v>513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840">
        <v>0</v>
      </c>
      <c r="I11" s="246">
        <f t="shared" si="0"/>
        <v>0</v>
      </c>
    </row>
    <row r="12" spans="1:9" ht="29.1" customHeight="1">
      <c r="A12" s="392">
        <v>22103</v>
      </c>
      <c r="B12" s="246" t="s">
        <v>125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840">
        <v>0</v>
      </c>
      <c r="I12" s="246">
        <f t="shared" si="0"/>
        <v>0</v>
      </c>
    </row>
    <row r="13" spans="1:9" ht="29.1" customHeight="1">
      <c r="A13" s="392">
        <v>22104</v>
      </c>
      <c r="B13" s="246" t="s">
        <v>157</v>
      </c>
      <c r="C13" s="246">
        <v>0</v>
      </c>
      <c r="D13" s="246">
        <v>58384000</v>
      </c>
      <c r="E13" s="246">
        <f>D13</f>
        <v>58384000</v>
      </c>
      <c r="F13" s="246">
        <f>E13</f>
        <v>58384000</v>
      </c>
      <c r="G13" s="246">
        <f>F13</f>
        <v>58384000</v>
      </c>
      <c r="H13" s="840">
        <f>G13</f>
        <v>58384000</v>
      </c>
      <c r="I13" s="246">
        <f t="shared" si="0"/>
        <v>0</v>
      </c>
    </row>
    <row r="14" spans="1:9" ht="29.1" customHeight="1">
      <c r="A14" s="392">
        <v>22105</v>
      </c>
      <c r="B14" s="246" t="s">
        <v>514</v>
      </c>
      <c r="C14" s="246">
        <v>0</v>
      </c>
      <c r="D14" s="246">
        <v>72000000</v>
      </c>
      <c r="E14" s="246">
        <v>108000000</v>
      </c>
      <c r="F14" s="246">
        <v>168000000</v>
      </c>
      <c r="G14" s="246">
        <v>168000000</v>
      </c>
      <c r="H14" s="840">
        <v>168000000</v>
      </c>
      <c r="I14" s="246">
        <f t="shared" si="0"/>
        <v>0</v>
      </c>
    </row>
    <row r="15" spans="1:9" ht="29.1" customHeight="1">
      <c r="A15" s="392">
        <v>22106</v>
      </c>
      <c r="B15" s="246" t="s">
        <v>126</v>
      </c>
      <c r="C15" s="246">
        <v>0</v>
      </c>
      <c r="D15" s="246">
        <v>0</v>
      </c>
      <c r="E15" s="246">
        <v>20000000</v>
      </c>
      <c r="F15" s="246">
        <v>20000000</v>
      </c>
      <c r="G15" s="246">
        <v>70000000</v>
      </c>
      <c r="H15" s="840">
        <v>70000000</v>
      </c>
      <c r="I15" s="246">
        <f t="shared" si="0"/>
        <v>0</v>
      </c>
    </row>
    <row r="16" spans="1:9" ht="29.1" customHeight="1">
      <c r="A16" s="392">
        <v>22107</v>
      </c>
      <c r="B16" s="246" t="s">
        <v>48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840">
        <v>0</v>
      </c>
      <c r="I16" s="246">
        <f t="shared" si="0"/>
        <v>0</v>
      </c>
    </row>
    <row r="17" spans="1:15" ht="29.1" customHeight="1">
      <c r="A17" s="392">
        <v>22108</v>
      </c>
      <c r="B17" s="246" t="s">
        <v>515</v>
      </c>
      <c r="C17" s="246">
        <v>0</v>
      </c>
      <c r="D17" s="246">
        <v>59000000</v>
      </c>
      <c r="E17" s="246">
        <f t="shared" ref="E17:H19" si="1">D17</f>
        <v>59000000</v>
      </c>
      <c r="F17" s="246">
        <f t="shared" si="1"/>
        <v>59000000</v>
      </c>
      <c r="G17" s="246">
        <f t="shared" si="1"/>
        <v>59000000</v>
      </c>
      <c r="H17" s="840">
        <f t="shared" si="1"/>
        <v>59000000</v>
      </c>
      <c r="I17" s="246">
        <f t="shared" si="0"/>
        <v>0</v>
      </c>
    </row>
    <row r="18" spans="1:15" ht="29.1" customHeight="1">
      <c r="A18" s="392">
        <v>22109</v>
      </c>
      <c r="B18" s="246" t="s">
        <v>136</v>
      </c>
      <c r="C18" s="246">
        <v>0</v>
      </c>
      <c r="D18" s="246">
        <v>30000000</v>
      </c>
      <c r="E18" s="246">
        <f t="shared" si="1"/>
        <v>30000000</v>
      </c>
      <c r="F18" s="246">
        <f t="shared" si="1"/>
        <v>30000000</v>
      </c>
      <c r="G18" s="246">
        <f t="shared" si="1"/>
        <v>30000000</v>
      </c>
      <c r="H18" s="840">
        <f t="shared" si="1"/>
        <v>30000000</v>
      </c>
      <c r="I18" s="246">
        <f t="shared" si="0"/>
        <v>0</v>
      </c>
    </row>
    <row r="19" spans="1:15" ht="29.1" customHeight="1">
      <c r="A19" s="392">
        <v>22112</v>
      </c>
      <c r="B19" s="246" t="s">
        <v>35</v>
      </c>
      <c r="C19" s="246">
        <v>0</v>
      </c>
      <c r="D19" s="246">
        <v>62200000</v>
      </c>
      <c r="E19" s="246">
        <f t="shared" si="1"/>
        <v>62200000</v>
      </c>
      <c r="F19" s="246">
        <f t="shared" si="1"/>
        <v>62200000</v>
      </c>
      <c r="G19" s="246">
        <f t="shared" si="1"/>
        <v>62200000</v>
      </c>
      <c r="H19" s="840">
        <f t="shared" si="1"/>
        <v>62200000</v>
      </c>
      <c r="I19" s="246">
        <f t="shared" si="0"/>
        <v>0</v>
      </c>
    </row>
    <row r="20" spans="1:15" ht="29.1" customHeight="1">
      <c r="A20" s="392">
        <v>22129</v>
      </c>
      <c r="B20" s="246" t="s">
        <v>516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840">
        <v>0</v>
      </c>
      <c r="I20" s="246">
        <f t="shared" si="0"/>
        <v>0</v>
      </c>
    </row>
    <row r="21" spans="1:15" ht="29.1" customHeight="1">
      <c r="A21" s="392">
        <v>22140</v>
      </c>
      <c r="B21" s="246" t="s">
        <v>574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840">
        <v>0</v>
      </c>
      <c r="I21" s="246">
        <f t="shared" si="0"/>
        <v>0</v>
      </c>
    </row>
    <row r="22" spans="1:15" ht="29.1" customHeight="1">
      <c r="A22" s="392"/>
      <c r="B22" s="280" t="s">
        <v>92</v>
      </c>
      <c r="C22" s="246">
        <v>0</v>
      </c>
      <c r="D22" s="280">
        <f>SUM(D10:D21)</f>
        <v>381584000</v>
      </c>
      <c r="E22" s="280">
        <f>SUM(E10:E21)</f>
        <v>437584000</v>
      </c>
      <c r="F22" s="280">
        <f>SUM(F10:F21)</f>
        <v>447584000</v>
      </c>
      <c r="G22" s="280">
        <f>SUM(G10:G21)</f>
        <v>497584000</v>
      </c>
      <c r="H22" s="851">
        <f>SUM(H10:H21)</f>
        <v>547584000</v>
      </c>
      <c r="I22" s="280">
        <f t="shared" si="0"/>
        <v>50000000</v>
      </c>
    </row>
    <row r="23" spans="1:15" ht="29.1" customHeight="1">
      <c r="A23" s="476">
        <v>2220</v>
      </c>
      <c r="B23" s="280" t="s">
        <v>240</v>
      </c>
      <c r="C23" s="246">
        <v>0</v>
      </c>
      <c r="D23" s="246"/>
      <c r="E23" s="246"/>
      <c r="F23" s="246"/>
      <c r="G23" s="246"/>
      <c r="H23" s="840"/>
      <c r="I23" s="246">
        <f t="shared" si="0"/>
        <v>0</v>
      </c>
      <c r="O23" s="678"/>
    </row>
    <row r="24" spans="1:15" ht="29.1" customHeight="1">
      <c r="A24" s="392">
        <v>22201</v>
      </c>
      <c r="B24" s="246" t="s">
        <v>132</v>
      </c>
      <c r="C24" s="246">
        <v>0</v>
      </c>
      <c r="D24" s="246">
        <v>0</v>
      </c>
      <c r="E24" s="246">
        <v>0</v>
      </c>
      <c r="F24" s="246">
        <v>0</v>
      </c>
      <c r="G24" s="246">
        <v>0</v>
      </c>
      <c r="H24" s="840">
        <v>0</v>
      </c>
      <c r="I24" s="246">
        <f t="shared" si="0"/>
        <v>0</v>
      </c>
    </row>
    <row r="25" spans="1:15" ht="29.1" customHeight="1">
      <c r="A25" s="392">
        <v>22202</v>
      </c>
      <c r="B25" s="246" t="s">
        <v>133</v>
      </c>
      <c r="C25" s="246">
        <v>0</v>
      </c>
      <c r="D25" s="246">
        <v>176000000</v>
      </c>
      <c r="E25" s="246">
        <v>186000000</v>
      </c>
      <c r="F25" s="246">
        <v>186000000</v>
      </c>
      <c r="G25" s="246">
        <v>186000000</v>
      </c>
      <c r="H25" s="840">
        <v>256000000</v>
      </c>
      <c r="I25" s="246">
        <f t="shared" si="0"/>
        <v>70000000</v>
      </c>
    </row>
    <row r="26" spans="1:15" ht="29.1" customHeight="1">
      <c r="A26" s="392">
        <v>22203</v>
      </c>
      <c r="B26" s="246" t="s">
        <v>127</v>
      </c>
      <c r="C26" s="246">
        <v>0</v>
      </c>
      <c r="D26" s="246">
        <v>44000000</v>
      </c>
      <c r="E26" s="246">
        <v>59000000</v>
      </c>
      <c r="F26" s="246">
        <v>59000000</v>
      </c>
      <c r="G26" s="246">
        <v>59000000</v>
      </c>
      <c r="H26" s="840">
        <v>59000000</v>
      </c>
      <c r="I26" s="246">
        <f t="shared" si="0"/>
        <v>0</v>
      </c>
    </row>
    <row r="27" spans="1:15" ht="29.1" customHeight="1">
      <c r="A27" s="392">
        <v>22204</v>
      </c>
      <c r="B27" s="246" t="s">
        <v>128</v>
      </c>
      <c r="C27" s="246">
        <v>0</v>
      </c>
      <c r="D27" s="246">
        <v>0</v>
      </c>
      <c r="E27" s="246">
        <v>0</v>
      </c>
      <c r="F27" s="246">
        <v>0</v>
      </c>
      <c r="G27" s="246">
        <v>10000000</v>
      </c>
      <c r="H27" s="840">
        <v>30000000</v>
      </c>
      <c r="I27" s="246">
        <f t="shared" si="0"/>
        <v>20000000</v>
      </c>
    </row>
    <row r="28" spans="1:15" ht="29.1" customHeight="1">
      <c r="A28" s="392">
        <v>22208</v>
      </c>
      <c r="B28" s="246" t="s">
        <v>517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840">
        <v>0</v>
      </c>
      <c r="I28" s="246">
        <f t="shared" si="0"/>
        <v>0</v>
      </c>
    </row>
    <row r="29" spans="1:15" ht="29.1" customHeight="1">
      <c r="A29" s="392">
        <v>22210</v>
      </c>
      <c r="B29" s="246" t="s">
        <v>518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840">
        <v>0</v>
      </c>
      <c r="I29" s="246">
        <f t="shared" si="0"/>
        <v>0</v>
      </c>
    </row>
    <row r="30" spans="1:15" ht="29.1" customHeight="1">
      <c r="A30" s="392">
        <v>22216</v>
      </c>
      <c r="B30" s="246" t="s">
        <v>269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  <c r="H30" s="840">
        <v>0</v>
      </c>
      <c r="I30" s="246">
        <f t="shared" si="0"/>
        <v>0</v>
      </c>
    </row>
    <row r="31" spans="1:15" ht="29.1" customHeight="1">
      <c r="A31" s="392"/>
      <c r="B31" s="280" t="s">
        <v>92</v>
      </c>
      <c r="C31" s="246">
        <v>0</v>
      </c>
      <c r="D31" s="280">
        <f>SUM(D24:D30)</f>
        <v>220000000</v>
      </c>
      <c r="E31" s="280">
        <f>SUM(E24:E30)</f>
        <v>245000000</v>
      </c>
      <c r="F31" s="280">
        <f>SUM(F24:F30)</f>
        <v>245000000</v>
      </c>
      <c r="G31" s="280">
        <f>SUM(G24:G30)</f>
        <v>255000000</v>
      </c>
      <c r="H31" s="851">
        <f>SUM(H24:H30)</f>
        <v>345000000</v>
      </c>
      <c r="I31" s="280">
        <f t="shared" si="0"/>
        <v>90000000</v>
      </c>
    </row>
    <row r="32" spans="1:15" ht="29.1" customHeight="1">
      <c r="A32" s="476">
        <v>2230</v>
      </c>
      <c r="B32" s="280" t="s">
        <v>130</v>
      </c>
      <c r="C32" s="246">
        <v>0</v>
      </c>
      <c r="D32" s="246"/>
      <c r="E32" s="246"/>
      <c r="F32" s="246"/>
      <c r="G32" s="246"/>
      <c r="H32" s="840"/>
      <c r="I32" s="246">
        <f t="shared" si="0"/>
        <v>0</v>
      </c>
    </row>
    <row r="33" spans="1:9" ht="29.1" customHeight="1">
      <c r="A33" s="392">
        <v>22301</v>
      </c>
      <c r="B33" s="246" t="s">
        <v>49</v>
      </c>
      <c r="C33" s="246">
        <v>0</v>
      </c>
      <c r="D33" s="246">
        <v>20000000</v>
      </c>
      <c r="E33" s="246">
        <v>20000000</v>
      </c>
      <c r="F33" s="246">
        <v>50000000</v>
      </c>
      <c r="G33" s="246">
        <v>80000000</v>
      </c>
      <c r="H33" s="840">
        <v>110000000</v>
      </c>
      <c r="I33" s="246">
        <f t="shared" si="0"/>
        <v>30000000</v>
      </c>
    </row>
    <row r="34" spans="1:9" ht="29.1" customHeight="1">
      <c r="A34" s="392">
        <v>22302</v>
      </c>
      <c r="B34" s="246" t="s">
        <v>249</v>
      </c>
      <c r="C34" s="246">
        <v>0</v>
      </c>
      <c r="D34" s="246">
        <v>0</v>
      </c>
      <c r="E34" s="246">
        <v>0</v>
      </c>
      <c r="F34" s="246">
        <v>0</v>
      </c>
      <c r="G34" s="246">
        <v>0</v>
      </c>
      <c r="H34" s="840">
        <v>0</v>
      </c>
      <c r="I34" s="246">
        <f t="shared" si="0"/>
        <v>0</v>
      </c>
    </row>
    <row r="35" spans="1:9" ht="29.1" customHeight="1">
      <c r="A35" s="392">
        <v>22307</v>
      </c>
      <c r="B35" s="246" t="s">
        <v>519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840">
        <v>0</v>
      </c>
      <c r="I35" s="246">
        <f t="shared" si="0"/>
        <v>0</v>
      </c>
    </row>
    <row r="36" spans="1:9" ht="29.1" customHeight="1">
      <c r="A36" s="392"/>
      <c r="B36" s="280" t="s">
        <v>92</v>
      </c>
      <c r="C36" s="246">
        <v>0</v>
      </c>
      <c r="D36" s="280">
        <f>SUM(D33:D35)</f>
        <v>20000000</v>
      </c>
      <c r="E36" s="280">
        <f>SUM(E33:E35)</f>
        <v>20000000</v>
      </c>
      <c r="F36" s="280">
        <f>SUM(F33:F35)</f>
        <v>50000000</v>
      </c>
      <c r="G36" s="280">
        <f>SUM(G33:G35)</f>
        <v>80000000</v>
      </c>
      <c r="H36" s="851">
        <f>SUM(H33:H35)</f>
        <v>110000000</v>
      </c>
      <c r="I36" s="280">
        <f t="shared" si="0"/>
        <v>30000000</v>
      </c>
    </row>
    <row r="37" spans="1:9" ht="29.1" customHeight="1">
      <c r="A37" s="476">
        <v>270</v>
      </c>
      <c r="B37" s="280" t="s">
        <v>253</v>
      </c>
      <c r="C37" s="246">
        <v>0</v>
      </c>
      <c r="D37" s="246"/>
      <c r="E37" s="246"/>
      <c r="F37" s="246"/>
      <c r="G37" s="246"/>
      <c r="H37" s="840"/>
      <c r="I37" s="246">
        <f t="shared" si="0"/>
        <v>0</v>
      </c>
    </row>
    <row r="38" spans="1:9" ht="29.1" customHeight="1">
      <c r="A38" s="476">
        <v>2710</v>
      </c>
      <c r="B38" s="280" t="s">
        <v>252</v>
      </c>
      <c r="C38" s="246">
        <v>0</v>
      </c>
      <c r="D38" s="246"/>
      <c r="E38" s="246"/>
      <c r="F38" s="246"/>
      <c r="G38" s="246"/>
      <c r="H38" s="840"/>
      <c r="I38" s="246">
        <f t="shared" si="0"/>
        <v>0</v>
      </c>
    </row>
    <row r="39" spans="1:9" ht="29.1" customHeight="1">
      <c r="A39" s="392">
        <v>27601</v>
      </c>
      <c r="B39" s="246" t="s">
        <v>264</v>
      </c>
      <c r="C39" s="246">
        <v>0</v>
      </c>
      <c r="D39" s="246"/>
      <c r="E39" s="246"/>
      <c r="F39" s="246"/>
      <c r="G39" s="246"/>
      <c r="H39" s="840"/>
      <c r="I39" s="246">
        <f t="shared" si="0"/>
        <v>0</v>
      </c>
    </row>
    <row r="40" spans="1:9" ht="29.1" customHeight="1">
      <c r="A40" s="392">
        <v>27402</v>
      </c>
      <c r="B40" s="246" t="s">
        <v>265</v>
      </c>
      <c r="C40" s="246">
        <v>0</v>
      </c>
      <c r="D40" s="246">
        <v>0</v>
      </c>
      <c r="E40" s="246">
        <v>0</v>
      </c>
      <c r="F40" s="246">
        <v>0</v>
      </c>
      <c r="G40" s="246">
        <v>210000000</v>
      </c>
      <c r="H40" s="840">
        <v>0</v>
      </c>
      <c r="I40" s="246">
        <f t="shared" si="0"/>
        <v>-210000000</v>
      </c>
    </row>
    <row r="41" spans="1:9" ht="29.1" customHeight="1">
      <c r="A41" s="392">
        <v>27502</v>
      </c>
      <c r="B41" s="246" t="s">
        <v>148</v>
      </c>
      <c r="C41" s="246">
        <v>0</v>
      </c>
      <c r="D41" s="246">
        <v>4000000</v>
      </c>
      <c r="E41" s="246">
        <f t="shared" ref="E41:H42" si="2">D41</f>
        <v>4000000</v>
      </c>
      <c r="F41" s="246">
        <f t="shared" si="2"/>
        <v>4000000</v>
      </c>
      <c r="G41" s="246">
        <f t="shared" si="2"/>
        <v>4000000</v>
      </c>
      <c r="H41" s="840">
        <f t="shared" si="2"/>
        <v>4000000</v>
      </c>
      <c r="I41" s="246">
        <f t="shared" si="0"/>
        <v>0</v>
      </c>
    </row>
    <row r="42" spans="1:9" ht="29.1" customHeight="1">
      <c r="A42" s="392">
        <v>27604</v>
      </c>
      <c r="B42" s="246" t="s">
        <v>520</v>
      </c>
      <c r="C42" s="246">
        <v>0</v>
      </c>
      <c r="D42" s="246">
        <v>7941000</v>
      </c>
      <c r="E42" s="246">
        <f t="shared" si="2"/>
        <v>7941000</v>
      </c>
      <c r="F42" s="246">
        <f t="shared" si="2"/>
        <v>7941000</v>
      </c>
      <c r="G42" s="246">
        <f t="shared" si="2"/>
        <v>7941000</v>
      </c>
      <c r="H42" s="840">
        <f t="shared" si="2"/>
        <v>7941000</v>
      </c>
      <c r="I42" s="246">
        <f t="shared" si="0"/>
        <v>0</v>
      </c>
    </row>
    <row r="43" spans="1:9" ht="29.1" customHeight="1">
      <c r="A43" s="392"/>
      <c r="B43" s="280" t="s">
        <v>92</v>
      </c>
      <c r="C43" s="246">
        <v>0</v>
      </c>
      <c r="D43" s="280">
        <f>SUM(D39:D42)</f>
        <v>11941000</v>
      </c>
      <c r="E43" s="280">
        <f>SUM(E39:E42)</f>
        <v>11941000</v>
      </c>
      <c r="F43" s="280">
        <f>SUM(F39:F42)</f>
        <v>11941000</v>
      </c>
      <c r="G43" s="280">
        <f>SUM(G39:G42)</f>
        <v>221941000</v>
      </c>
      <c r="H43" s="851">
        <f>SUM(H39:H42)</f>
        <v>11941000</v>
      </c>
      <c r="I43" s="280">
        <f t="shared" si="0"/>
        <v>-210000000</v>
      </c>
    </row>
    <row r="44" spans="1:9" ht="29.1" customHeight="1">
      <c r="A44" s="392"/>
      <c r="B44" s="280" t="s">
        <v>37</v>
      </c>
      <c r="C44" s="246">
        <v>0</v>
      </c>
      <c r="D44" s="280">
        <f>D43+D36+D31+D22+D7</f>
        <v>1960125000</v>
      </c>
      <c r="E44" s="280">
        <f>E43+E36+E31+E22+E7</f>
        <v>2230125000</v>
      </c>
      <c r="F44" s="280">
        <f>F43+F36+F31+F22+F7</f>
        <v>2270125000</v>
      </c>
      <c r="G44" s="280">
        <f>G43+G36+G31+G22+G7</f>
        <v>2570125000</v>
      </c>
      <c r="H44" s="280">
        <f>H43+H36+H31+H22+H7</f>
        <v>2530125000</v>
      </c>
      <c r="I44" s="280">
        <f t="shared" si="0"/>
        <v>-40000000</v>
      </c>
    </row>
  </sheetData>
  <pageMargins left="0.7" right="0.7" top="0.75" bottom="0.75" header="0.3" footer="0.3"/>
  <pageSetup scale="50" orientation="portrait" r:id="rId1"/>
  <headerFooter>
    <oddHeader xml:space="preserve">&amp;C&amp;"Algerian,Bold"&amp;36 XAFIISKA GUDIdA FURASHADA URURADA </oddHeader>
    <oddFooter>&amp;R&amp;"Times New Roman,Bold"&amp;12 59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view="pageBreakPreview" topLeftCell="A34" zoomScale="60" workbookViewId="0">
      <selection activeCell="T50" sqref="T50"/>
    </sheetView>
  </sheetViews>
  <sheetFormatPr defaultRowHeight="24" customHeight="1"/>
  <cols>
    <col min="1" max="1" width="15.5" style="827" bestFit="1" customWidth="1"/>
    <col min="2" max="2" width="77" style="612" customWidth="1"/>
    <col min="3" max="4" width="18.83203125" style="612" hidden="1" customWidth="1"/>
    <col min="5" max="14" width="9.33203125" style="612" hidden="1" customWidth="1"/>
    <col min="15" max="15" width="27.6640625" style="612" hidden="1" customWidth="1"/>
    <col min="16" max="16" width="0.1640625" style="612" hidden="1" customWidth="1"/>
    <col min="17" max="17" width="30.83203125" style="612" hidden="1" customWidth="1"/>
    <col min="18" max="18" width="27" style="612" hidden="1" customWidth="1"/>
    <col min="19" max="20" width="27" style="612" customWidth="1"/>
    <col min="21" max="21" width="28.6640625" style="612" bestFit="1" customWidth="1"/>
    <col min="22" max="16384" width="9.33203125" style="612"/>
  </cols>
  <sheetData>
    <row r="1" spans="1:21" ht="24" customHeight="1">
      <c r="A1" s="608" t="s">
        <v>40</v>
      </c>
      <c r="B1" s="545" t="s">
        <v>1030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280"/>
      <c r="R1" s="280"/>
      <c r="S1" s="280"/>
      <c r="T1" s="280"/>
      <c r="U1" s="280"/>
    </row>
    <row r="2" spans="1:21" ht="24" customHeight="1">
      <c r="A2" s="476">
        <v>210</v>
      </c>
      <c r="B2" s="280" t="s">
        <v>137</v>
      </c>
      <c r="C2" s="478" t="s">
        <v>38</v>
      </c>
      <c r="D2" s="482" t="s">
        <v>2</v>
      </c>
      <c r="E2" s="482" t="s">
        <v>43</v>
      </c>
      <c r="F2" s="482" t="s">
        <v>46</v>
      </c>
      <c r="G2" s="482" t="s">
        <v>55</v>
      </c>
      <c r="H2" s="482" t="s">
        <v>62</v>
      </c>
      <c r="I2" s="482" t="s">
        <v>103</v>
      </c>
      <c r="J2" s="482" t="s">
        <v>107</v>
      </c>
      <c r="K2" s="482" t="s">
        <v>115</v>
      </c>
      <c r="L2" s="482" t="s">
        <v>151</v>
      </c>
      <c r="M2" s="482" t="s">
        <v>257</v>
      </c>
      <c r="N2" s="482" t="s">
        <v>440</v>
      </c>
      <c r="O2" s="482" t="s">
        <v>814</v>
      </c>
      <c r="P2" s="482" t="s">
        <v>874</v>
      </c>
      <c r="Q2" s="286" t="s">
        <v>56</v>
      </c>
      <c r="R2" s="286" t="s">
        <v>973</v>
      </c>
      <c r="S2" s="286" t="s">
        <v>1160</v>
      </c>
      <c r="T2" s="286" t="s">
        <v>1320</v>
      </c>
      <c r="U2" s="286" t="s">
        <v>56</v>
      </c>
    </row>
    <row r="3" spans="1:21" ht="24" customHeight="1">
      <c r="A3" s="476">
        <v>2110</v>
      </c>
      <c r="B3" s="280" t="s">
        <v>213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46"/>
      <c r="R3" s="292"/>
      <c r="S3" s="292"/>
      <c r="T3" s="292"/>
      <c r="U3" s="292"/>
    </row>
    <row r="4" spans="1:21" ht="24" customHeight="1">
      <c r="A4" s="392">
        <v>21101</v>
      </c>
      <c r="B4" s="246" t="s">
        <v>28</v>
      </c>
      <c r="C4" s="292"/>
      <c r="D4" s="292"/>
      <c r="E4" s="292"/>
      <c r="F4" s="292"/>
      <c r="G4" s="292"/>
      <c r="H4" s="292"/>
      <c r="I4" s="290">
        <v>321389200</v>
      </c>
      <c r="J4" s="582">
        <f>348925200+54000000+6000000</f>
        <v>408925200</v>
      </c>
      <c r="K4" s="582">
        <f>408925200+12000000+4149600+936000-936000+1887600</f>
        <v>426962400</v>
      </c>
      <c r="L4" s="582">
        <v>731890800</v>
      </c>
      <c r="M4" s="582">
        <f>shaqaalaha2011!H30+36000000+64740000</f>
        <v>1238292000</v>
      </c>
      <c r="N4" s="582">
        <v>1285471200</v>
      </c>
      <c r="O4" s="249">
        <v>265356000</v>
      </c>
      <c r="P4" s="249">
        <v>714055680</v>
      </c>
      <c r="Q4" s="679">
        <f>P4-N4</f>
        <v>-571415520</v>
      </c>
      <c r="R4" s="249">
        <v>875010240</v>
      </c>
      <c r="S4" s="249">
        <v>1052251200</v>
      </c>
      <c r="T4" s="249">
        <v>1455483744</v>
      </c>
      <c r="U4" s="249">
        <f>T4-S4</f>
        <v>403232544</v>
      </c>
    </row>
    <row r="5" spans="1:21" ht="24" customHeight="1">
      <c r="A5" s="392">
        <v>21102</v>
      </c>
      <c r="B5" s="246" t="s">
        <v>29</v>
      </c>
      <c r="C5" s="246">
        <v>7553000</v>
      </c>
      <c r="D5" s="246">
        <v>0</v>
      </c>
      <c r="E5" s="246">
        <v>0</v>
      </c>
      <c r="F5" s="246">
        <v>45000000</v>
      </c>
      <c r="G5" s="246">
        <f>F5</f>
        <v>45000000</v>
      </c>
      <c r="H5" s="246">
        <v>45000000</v>
      </c>
      <c r="I5" s="246">
        <v>0</v>
      </c>
      <c r="J5" s="249">
        <v>0</v>
      </c>
      <c r="K5" s="249">
        <v>0</v>
      </c>
      <c r="L5" s="249">
        <v>45000000</v>
      </c>
      <c r="M5" s="249">
        <f>L5*200%</f>
        <v>90000000</v>
      </c>
      <c r="N5" s="249">
        <v>187200000</v>
      </c>
      <c r="O5" s="249">
        <v>187200000</v>
      </c>
      <c r="P5" s="249">
        <v>284400000</v>
      </c>
      <c r="Q5" s="249">
        <f t="shared" ref="Q5:Q50" si="0">P5-N5</f>
        <v>97200000</v>
      </c>
      <c r="R5" s="249">
        <v>169200000</v>
      </c>
      <c r="S5" s="724">
        <v>230400000</v>
      </c>
      <c r="T5" s="724">
        <v>234892800</v>
      </c>
      <c r="U5" s="249">
        <f t="shared" ref="U5:U50" si="1">T5-S5</f>
        <v>4492800</v>
      </c>
    </row>
    <row r="6" spans="1:21" ht="24" customHeight="1">
      <c r="A6" s="392">
        <v>21103</v>
      </c>
      <c r="B6" s="246" t="s">
        <v>30</v>
      </c>
      <c r="C6" s="246">
        <v>8400000</v>
      </c>
      <c r="D6" s="246">
        <v>10800000</v>
      </c>
      <c r="E6" s="246">
        <v>10800000</v>
      </c>
      <c r="F6" s="246">
        <v>21600000</v>
      </c>
      <c r="G6" s="246">
        <v>33288000</v>
      </c>
      <c r="H6" s="246">
        <v>33288000</v>
      </c>
      <c r="I6" s="246">
        <v>32400000</v>
      </c>
      <c r="J6" s="249">
        <f>30888000+32400000+1440000</f>
        <v>64728000</v>
      </c>
      <c r="K6" s="249">
        <f>64728000+1440000+7920000</f>
        <v>74088000</v>
      </c>
      <c r="L6" s="249">
        <v>166968000</v>
      </c>
      <c r="M6" s="249">
        <v>166968000</v>
      </c>
      <c r="N6" s="249">
        <v>231768000</v>
      </c>
      <c r="O6" s="249">
        <v>153314400</v>
      </c>
      <c r="P6" s="249">
        <v>306000000</v>
      </c>
      <c r="Q6" s="249">
        <f t="shared" si="0"/>
        <v>74232000</v>
      </c>
      <c r="R6" s="249">
        <v>234000000</v>
      </c>
      <c r="S6" s="724">
        <v>306000000</v>
      </c>
      <c r="T6" s="886">
        <v>324000000</v>
      </c>
      <c r="U6" s="249">
        <f t="shared" si="1"/>
        <v>18000000</v>
      </c>
    </row>
    <row r="7" spans="1:21" ht="24" customHeight="1">
      <c r="A7" s="392">
        <v>21105</v>
      </c>
      <c r="B7" s="246" t="s">
        <v>525</v>
      </c>
      <c r="C7" s="246"/>
      <c r="D7" s="246"/>
      <c r="E7" s="246"/>
      <c r="F7" s="246"/>
      <c r="G7" s="246"/>
      <c r="H7" s="246"/>
      <c r="I7" s="246"/>
      <c r="J7" s="249"/>
      <c r="K7" s="249"/>
      <c r="L7" s="249"/>
      <c r="M7" s="249">
        <v>834000000</v>
      </c>
      <c r="N7" s="249">
        <f>M7</f>
        <v>834000000</v>
      </c>
      <c r="O7" s="249">
        <v>172800000</v>
      </c>
      <c r="P7" s="249">
        <v>410114400</v>
      </c>
      <c r="Q7" s="249">
        <f t="shared" si="0"/>
        <v>-423885600</v>
      </c>
      <c r="R7" s="249">
        <v>560400000</v>
      </c>
      <c r="S7" s="724">
        <v>682800000</v>
      </c>
      <c r="T7" s="886">
        <v>891600000</v>
      </c>
      <c r="U7" s="249">
        <f t="shared" si="1"/>
        <v>208800000</v>
      </c>
    </row>
    <row r="8" spans="1:21" ht="24" customHeight="1">
      <c r="A8" s="392"/>
      <c r="B8" s="280" t="s">
        <v>92</v>
      </c>
      <c r="C8" s="246">
        <v>32399990</v>
      </c>
      <c r="D8" s="246">
        <v>2895816</v>
      </c>
      <c r="E8" s="246">
        <v>2895816</v>
      </c>
      <c r="F8" s="246">
        <v>6655816</v>
      </c>
      <c r="G8" s="246">
        <v>59200000</v>
      </c>
      <c r="H8" s="246">
        <v>74000000</v>
      </c>
      <c r="I8" s="246">
        <v>55115200</v>
      </c>
      <c r="J8" s="249">
        <v>55000000</v>
      </c>
      <c r="K8" s="249">
        <v>39873274</v>
      </c>
      <c r="L8" s="285">
        <f>SUM(L4:L6)</f>
        <v>943858800</v>
      </c>
      <c r="M8" s="285">
        <f>SUM(M3:M7)</f>
        <v>2329260000</v>
      </c>
      <c r="N8" s="285">
        <f>SUM(N4:N7)</f>
        <v>2538439200</v>
      </c>
      <c r="O8" s="285">
        <f>SUM(O4:O7)</f>
        <v>778670400</v>
      </c>
      <c r="P8" s="285">
        <f>SUM(P4:P7)</f>
        <v>1714570080</v>
      </c>
      <c r="Q8" s="249">
        <f t="shared" si="0"/>
        <v>-823869120</v>
      </c>
      <c r="R8" s="285">
        <f>SUM(R4:R7)</f>
        <v>1838610240</v>
      </c>
      <c r="S8" s="285">
        <f>SUM(S4:S7)</f>
        <v>2271451200</v>
      </c>
      <c r="T8" s="849">
        <f>SUM(T4:T7)</f>
        <v>2905976544</v>
      </c>
      <c r="U8" s="285">
        <f t="shared" si="1"/>
        <v>634525344</v>
      </c>
    </row>
    <row r="9" spans="1:21" ht="24" customHeight="1">
      <c r="A9" s="476">
        <v>220</v>
      </c>
      <c r="B9" s="280" t="s">
        <v>225</v>
      </c>
      <c r="C9" s="246">
        <v>0</v>
      </c>
      <c r="D9" s="246">
        <v>0</v>
      </c>
      <c r="E9" s="246">
        <v>0</v>
      </c>
      <c r="F9" s="246">
        <v>0</v>
      </c>
      <c r="G9" s="246">
        <v>16000000</v>
      </c>
      <c r="H9" s="246">
        <v>20000000</v>
      </c>
      <c r="I9" s="246">
        <v>14896000</v>
      </c>
      <c r="J9" s="249">
        <v>25000000</v>
      </c>
      <c r="K9" s="249">
        <v>7448000</v>
      </c>
      <c r="L9" s="249"/>
      <c r="M9" s="249"/>
      <c r="N9" s="249"/>
      <c r="O9" s="249">
        <v>0</v>
      </c>
      <c r="P9" s="249">
        <v>0</v>
      </c>
      <c r="Q9" s="249">
        <f t="shared" si="0"/>
        <v>0</v>
      </c>
      <c r="R9" s="249">
        <v>0</v>
      </c>
      <c r="S9" s="249">
        <v>0</v>
      </c>
      <c r="T9" s="848">
        <v>0</v>
      </c>
      <c r="U9" s="249">
        <f t="shared" si="1"/>
        <v>0</v>
      </c>
    </row>
    <row r="10" spans="1:21" ht="24" customHeight="1">
      <c r="A10" s="476">
        <v>2210</v>
      </c>
      <c r="B10" s="280" t="s">
        <v>226</v>
      </c>
      <c r="C10" s="246"/>
      <c r="D10" s="246"/>
      <c r="E10" s="246"/>
      <c r="F10" s="246"/>
      <c r="G10" s="246"/>
      <c r="H10" s="246"/>
      <c r="I10" s="246"/>
      <c r="J10" s="249"/>
      <c r="K10" s="249">
        <v>9682400</v>
      </c>
      <c r="L10" s="249"/>
      <c r="M10" s="249"/>
      <c r="N10" s="249"/>
      <c r="O10" s="249"/>
      <c r="P10" s="249"/>
      <c r="Q10" s="249">
        <f t="shared" si="0"/>
        <v>0</v>
      </c>
      <c r="R10" s="249"/>
      <c r="S10" s="249"/>
      <c r="T10" s="848"/>
      <c r="U10" s="249">
        <f t="shared" si="1"/>
        <v>0</v>
      </c>
    </row>
    <row r="11" spans="1:21" ht="24" customHeight="1">
      <c r="A11" s="392">
        <v>22101</v>
      </c>
      <c r="B11" s="246" t="s">
        <v>33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9">
        <v>0</v>
      </c>
      <c r="K11" s="249">
        <v>14896000</v>
      </c>
      <c r="L11" s="249">
        <v>30906200</v>
      </c>
      <c r="M11" s="249">
        <f>30906200*70%+20000000</f>
        <v>41634340</v>
      </c>
      <c r="N11" s="249">
        <f>30906200*70%+20000000</f>
        <v>41634340</v>
      </c>
      <c r="O11" s="249">
        <v>30000000</v>
      </c>
      <c r="P11" s="249">
        <v>40000000</v>
      </c>
      <c r="Q11" s="249">
        <f t="shared" si="0"/>
        <v>-1634340</v>
      </c>
      <c r="R11" s="249">
        <v>60000000</v>
      </c>
      <c r="S11" s="249">
        <v>60000000</v>
      </c>
      <c r="T11" s="848">
        <v>60000000</v>
      </c>
      <c r="U11" s="249">
        <f t="shared" si="1"/>
        <v>0</v>
      </c>
    </row>
    <row r="12" spans="1:21" ht="24" customHeight="1">
      <c r="A12" s="392">
        <v>22104</v>
      </c>
      <c r="B12" s="246" t="s">
        <v>157</v>
      </c>
      <c r="C12" s="246"/>
      <c r="D12" s="246"/>
      <c r="E12" s="246"/>
      <c r="F12" s="246"/>
      <c r="G12" s="246"/>
      <c r="H12" s="246"/>
      <c r="I12" s="246"/>
      <c r="J12" s="249"/>
      <c r="K12" s="249">
        <v>115000000</v>
      </c>
      <c r="L12" s="249">
        <v>118865600</v>
      </c>
      <c r="M12" s="249">
        <f>83205920+20000000</f>
        <v>103205920</v>
      </c>
      <c r="N12" s="249">
        <f>83205920+20000000</f>
        <v>103205920</v>
      </c>
      <c r="O12" s="249">
        <v>16000000</v>
      </c>
      <c r="P12" s="249">
        <v>36000000</v>
      </c>
      <c r="Q12" s="249">
        <f t="shared" si="0"/>
        <v>-67205920</v>
      </c>
      <c r="R12" s="249">
        <v>50000000</v>
      </c>
      <c r="S12" s="249">
        <v>50000000</v>
      </c>
      <c r="T12" s="848">
        <v>50000000</v>
      </c>
      <c r="U12" s="249">
        <f t="shared" si="1"/>
        <v>0</v>
      </c>
    </row>
    <row r="13" spans="1:21" ht="24" customHeight="1">
      <c r="A13" s="392">
        <v>22105</v>
      </c>
      <c r="B13" s="246" t="s">
        <v>135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20000000</v>
      </c>
      <c r="I13" s="246">
        <v>0</v>
      </c>
      <c r="J13" s="249">
        <v>20000000</v>
      </c>
      <c r="K13" s="249">
        <v>0</v>
      </c>
      <c r="L13" s="249">
        <v>11954040</v>
      </c>
      <c r="M13" s="249">
        <f>11954040*70%</f>
        <v>8367827.9999999991</v>
      </c>
      <c r="N13" s="249">
        <f>11954040*70%</f>
        <v>8367827.9999999991</v>
      </c>
      <c r="O13" s="249">
        <v>0</v>
      </c>
      <c r="P13" s="249">
        <v>0</v>
      </c>
      <c r="Q13" s="249">
        <f t="shared" si="0"/>
        <v>-8367827.9999999991</v>
      </c>
      <c r="R13" s="249">
        <v>0</v>
      </c>
      <c r="S13" s="249">
        <v>0</v>
      </c>
      <c r="T13" s="848">
        <v>0</v>
      </c>
      <c r="U13" s="249">
        <f t="shared" si="1"/>
        <v>0</v>
      </c>
    </row>
    <row r="14" spans="1:21" ht="24" customHeight="1">
      <c r="A14" s="392">
        <v>22106</v>
      </c>
      <c r="B14" s="246" t="s">
        <v>126</v>
      </c>
      <c r="C14" s="246"/>
      <c r="D14" s="246">
        <v>0</v>
      </c>
      <c r="E14" s="246">
        <v>0</v>
      </c>
      <c r="F14" s="246">
        <v>22500000</v>
      </c>
      <c r="G14" s="246">
        <v>0</v>
      </c>
      <c r="H14" s="246">
        <v>40000000</v>
      </c>
      <c r="I14" s="246">
        <v>0</v>
      </c>
      <c r="J14" s="249">
        <v>0</v>
      </c>
      <c r="K14" s="249">
        <v>0</v>
      </c>
      <c r="L14" s="249">
        <v>12289200</v>
      </c>
      <c r="M14" s="249">
        <f>12289200*70%+15000000</f>
        <v>23602440</v>
      </c>
      <c r="N14" s="249">
        <v>0</v>
      </c>
      <c r="O14" s="249">
        <v>0</v>
      </c>
      <c r="P14" s="249">
        <v>100000000</v>
      </c>
      <c r="Q14" s="249">
        <f t="shared" si="0"/>
        <v>100000000</v>
      </c>
      <c r="R14" s="249">
        <v>150000000</v>
      </c>
      <c r="S14" s="249">
        <v>150000000</v>
      </c>
      <c r="T14" s="848">
        <v>150000000</v>
      </c>
      <c r="U14" s="249">
        <f t="shared" si="1"/>
        <v>0</v>
      </c>
    </row>
    <row r="15" spans="1:21" ht="24" customHeight="1">
      <c r="A15" s="392">
        <v>22107</v>
      </c>
      <c r="B15" s="246" t="s">
        <v>48</v>
      </c>
      <c r="C15" s="246"/>
      <c r="D15" s="246"/>
      <c r="E15" s="246"/>
      <c r="F15" s="246"/>
      <c r="G15" s="246"/>
      <c r="H15" s="246"/>
      <c r="I15" s="246"/>
      <c r="J15" s="249"/>
      <c r="K15" s="249">
        <v>5958400</v>
      </c>
      <c r="L15" s="249">
        <v>60716400</v>
      </c>
      <c r="M15" s="249">
        <f>42501480+10000000</f>
        <v>52501480</v>
      </c>
      <c r="N15" s="249">
        <f>M15*70%</f>
        <v>36751036</v>
      </c>
      <c r="O15" s="249">
        <v>40000000</v>
      </c>
      <c r="P15" s="249">
        <v>70000000</v>
      </c>
      <c r="Q15" s="249">
        <f t="shared" si="0"/>
        <v>33248964</v>
      </c>
      <c r="R15" s="249">
        <v>70000000</v>
      </c>
      <c r="S15" s="249">
        <v>70000000</v>
      </c>
      <c r="T15" s="848">
        <v>70000000</v>
      </c>
      <c r="U15" s="249">
        <f t="shared" si="1"/>
        <v>0</v>
      </c>
    </row>
    <row r="16" spans="1:21" ht="24" customHeight="1">
      <c r="A16" s="392">
        <v>22108</v>
      </c>
      <c r="B16" s="246" t="s">
        <v>1068</v>
      </c>
      <c r="C16" s="246"/>
      <c r="D16" s="246"/>
      <c r="E16" s="246"/>
      <c r="F16" s="246"/>
      <c r="G16" s="246"/>
      <c r="H16" s="246"/>
      <c r="I16" s="246"/>
      <c r="J16" s="249"/>
      <c r="K16" s="249"/>
      <c r="L16" s="249"/>
      <c r="M16" s="249"/>
      <c r="N16" s="249"/>
      <c r="O16" s="249"/>
      <c r="P16" s="249">
        <v>0</v>
      </c>
      <c r="Q16" s="249"/>
      <c r="R16" s="249">
        <v>24000000</v>
      </c>
      <c r="S16" s="249">
        <v>24000000</v>
      </c>
      <c r="T16" s="848">
        <v>72000000</v>
      </c>
      <c r="U16" s="249">
        <f t="shared" si="1"/>
        <v>48000000</v>
      </c>
    </row>
    <row r="17" spans="1:21" ht="24" customHeight="1">
      <c r="A17" s="392">
        <v>22109</v>
      </c>
      <c r="B17" s="246" t="s">
        <v>136</v>
      </c>
      <c r="C17" s="246">
        <v>0</v>
      </c>
      <c r="D17" s="246">
        <v>0</v>
      </c>
      <c r="E17" s="246">
        <v>0</v>
      </c>
      <c r="F17" s="246">
        <v>0</v>
      </c>
      <c r="G17" s="246">
        <v>2400000</v>
      </c>
      <c r="H17" s="246">
        <v>3000000</v>
      </c>
      <c r="I17" s="246">
        <v>1862000</v>
      </c>
      <c r="J17" s="249">
        <v>1862000</v>
      </c>
      <c r="K17" s="285">
        <f>SUM(K8:K15)</f>
        <v>192858074</v>
      </c>
      <c r="L17" s="249">
        <v>42492900</v>
      </c>
      <c r="M17" s="249">
        <f>42492900*70%+30000000</f>
        <v>59745030</v>
      </c>
      <c r="N17" s="249">
        <f>42492900*70%+30000000</f>
        <v>59745030</v>
      </c>
      <c r="O17" s="249">
        <v>25000000</v>
      </c>
      <c r="P17" s="249">
        <v>25000000</v>
      </c>
      <c r="Q17" s="249">
        <f t="shared" si="0"/>
        <v>-34745030</v>
      </c>
      <c r="R17" s="249">
        <v>25000000</v>
      </c>
      <c r="S17" s="249">
        <v>35000000</v>
      </c>
      <c r="T17" s="848">
        <v>35000000</v>
      </c>
      <c r="U17" s="249">
        <f t="shared" si="1"/>
        <v>0</v>
      </c>
    </row>
    <row r="18" spans="1:21" ht="24" customHeight="1">
      <c r="A18" s="392">
        <v>22112</v>
      </c>
      <c r="B18" s="246" t="s">
        <v>35</v>
      </c>
      <c r="C18" s="280">
        <f>SUM(C13:C17)</f>
        <v>0</v>
      </c>
      <c r="D18" s="280">
        <f>SUM(D13:D17)</f>
        <v>0</v>
      </c>
      <c r="E18" s="280">
        <v>0</v>
      </c>
      <c r="F18" s="280">
        <f>SUM(F13:F17)</f>
        <v>22500000</v>
      </c>
      <c r="G18" s="280">
        <f>SUM(G13:G17)</f>
        <v>2400000</v>
      </c>
      <c r="H18" s="280">
        <f>SUM(H13:H17)</f>
        <v>63000000</v>
      </c>
      <c r="I18" s="280">
        <f>SUM(I13:I17)</f>
        <v>1862000</v>
      </c>
      <c r="J18" s="285">
        <f>SUM(J13:J17)</f>
        <v>21862000</v>
      </c>
      <c r="K18" s="285"/>
      <c r="L18" s="249">
        <v>51971600</v>
      </c>
      <c r="M18" s="249">
        <f>36380120+5000000</f>
        <v>41380120</v>
      </c>
      <c r="N18" s="249">
        <f>36380120+5000000</f>
        <v>41380120</v>
      </c>
      <c r="O18" s="249">
        <v>20000000</v>
      </c>
      <c r="P18" s="249">
        <v>50000000</v>
      </c>
      <c r="Q18" s="249">
        <f t="shared" si="0"/>
        <v>8619880</v>
      </c>
      <c r="R18" s="249">
        <v>50000000</v>
      </c>
      <c r="S18" s="249">
        <v>50000000</v>
      </c>
      <c r="T18" s="848">
        <v>50000000</v>
      </c>
      <c r="U18" s="249">
        <f t="shared" si="1"/>
        <v>0</v>
      </c>
    </row>
    <row r="19" spans="1:21" ht="24" customHeight="1">
      <c r="A19" s="392">
        <v>22137</v>
      </c>
      <c r="B19" s="246" t="s">
        <v>1193</v>
      </c>
      <c r="C19" s="280"/>
      <c r="D19" s="280"/>
      <c r="E19" s="280"/>
      <c r="F19" s="280"/>
      <c r="G19" s="280"/>
      <c r="H19" s="280"/>
      <c r="I19" s="280"/>
      <c r="J19" s="285"/>
      <c r="K19" s="285"/>
      <c r="L19" s="249"/>
      <c r="M19" s="249"/>
      <c r="N19" s="249"/>
      <c r="O19" s="249"/>
      <c r="P19" s="249"/>
      <c r="Q19" s="249"/>
      <c r="R19" s="249"/>
      <c r="S19" s="249">
        <v>75000000</v>
      </c>
      <c r="T19" s="848">
        <v>100000000</v>
      </c>
      <c r="U19" s="249">
        <f t="shared" si="1"/>
        <v>25000000</v>
      </c>
    </row>
    <row r="20" spans="1:21" ht="24" customHeight="1">
      <c r="A20" s="392">
        <v>22132</v>
      </c>
      <c r="B20" s="246" t="s">
        <v>187</v>
      </c>
      <c r="C20" s="246"/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9">
        <v>0</v>
      </c>
      <c r="K20" s="249">
        <v>28488600</v>
      </c>
      <c r="L20" s="249">
        <f>309000000+18372000</f>
        <v>327372000</v>
      </c>
      <c r="M20" s="249">
        <f>327372000*70%</f>
        <v>229160400</v>
      </c>
      <c r="N20" s="249">
        <v>0</v>
      </c>
      <c r="O20" s="249">
        <v>0</v>
      </c>
      <c r="P20" s="249">
        <v>0</v>
      </c>
      <c r="Q20" s="249">
        <f t="shared" si="0"/>
        <v>0</v>
      </c>
      <c r="R20" s="249">
        <v>0</v>
      </c>
      <c r="S20" s="249">
        <v>0</v>
      </c>
      <c r="T20" s="848">
        <v>0</v>
      </c>
      <c r="U20" s="249">
        <f t="shared" si="1"/>
        <v>0</v>
      </c>
    </row>
    <row r="21" spans="1:21" ht="24" customHeight="1">
      <c r="A21" s="392">
        <v>22163</v>
      </c>
      <c r="B21" s="246" t="s">
        <v>1192</v>
      </c>
      <c r="C21" s="246"/>
      <c r="D21" s="246"/>
      <c r="E21" s="246"/>
      <c r="F21" s="246"/>
      <c r="G21" s="246"/>
      <c r="H21" s="246"/>
      <c r="I21" s="246"/>
      <c r="J21" s="249"/>
      <c r="K21" s="249"/>
      <c r="L21" s="249"/>
      <c r="M21" s="249"/>
      <c r="N21" s="249"/>
      <c r="O21" s="249"/>
      <c r="P21" s="249"/>
      <c r="Q21" s="249"/>
      <c r="R21" s="249"/>
      <c r="S21" s="249">
        <v>300000000</v>
      </c>
      <c r="T21" s="848">
        <v>0</v>
      </c>
      <c r="U21" s="249">
        <f t="shared" si="1"/>
        <v>-300000000</v>
      </c>
    </row>
    <row r="22" spans="1:21" ht="24" customHeight="1">
      <c r="A22" s="392">
        <v>22178</v>
      </c>
      <c r="B22" s="246" t="s">
        <v>1386</v>
      </c>
      <c r="C22" s="246"/>
      <c r="D22" s="246"/>
      <c r="E22" s="246"/>
      <c r="F22" s="246"/>
      <c r="G22" s="246"/>
      <c r="H22" s="246"/>
      <c r="I22" s="246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848">
        <v>780000000</v>
      </c>
      <c r="U22" s="249">
        <f t="shared" si="1"/>
        <v>780000000</v>
      </c>
    </row>
    <row r="23" spans="1:21" ht="24" customHeight="1">
      <c r="A23" s="476"/>
      <c r="B23" s="280" t="s">
        <v>92</v>
      </c>
      <c r="C23" s="246"/>
      <c r="D23" s="246"/>
      <c r="E23" s="246"/>
      <c r="F23" s="246">
        <v>100000000</v>
      </c>
      <c r="G23" s="246">
        <v>0</v>
      </c>
      <c r="H23" s="246">
        <v>0</v>
      </c>
      <c r="I23" s="246">
        <v>0</v>
      </c>
      <c r="J23" s="249">
        <v>0</v>
      </c>
      <c r="K23" s="285">
        <f>SUM(K20:K20)</f>
        <v>28488600</v>
      </c>
      <c r="L23" s="285">
        <f>SUM(L11:L20)</f>
        <v>656567940</v>
      </c>
      <c r="M23" s="285">
        <f>SUM(M11:M20)</f>
        <v>559597558</v>
      </c>
      <c r="N23" s="285">
        <f>SUM(N11:N20)</f>
        <v>291084274</v>
      </c>
      <c r="O23" s="285">
        <f>SUM(O11:O20)</f>
        <v>131000000</v>
      </c>
      <c r="P23" s="285">
        <f>SUM(P11:P20)</f>
        <v>321000000</v>
      </c>
      <c r="Q23" s="249">
        <f t="shared" si="0"/>
        <v>29915726</v>
      </c>
      <c r="R23" s="285">
        <f>SUM(R11:R20)</f>
        <v>429000000</v>
      </c>
      <c r="S23" s="285">
        <f>SUM(S11:S21)</f>
        <v>814000000</v>
      </c>
      <c r="T23" s="849">
        <f>SUM(T11:T22)</f>
        <v>1367000000</v>
      </c>
      <c r="U23" s="285">
        <f t="shared" si="1"/>
        <v>553000000</v>
      </c>
    </row>
    <row r="24" spans="1:21" ht="24" customHeight="1">
      <c r="A24" s="476">
        <v>2220</v>
      </c>
      <c r="B24" s="280" t="s">
        <v>240</v>
      </c>
      <c r="C24" s="280" t="e">
        <f>SUM(#REF!)</f>
        <v>#REF!</v>
      </c>
      <c r="D24" s="280" t="e">
        <f>SUM(#REF!)</f>
        <v>#REF!</v>
      </c>
      <c r="E24" s="280">
        <f>SUM(E20:E20)</f>
        <v>0</v>
      </c>
      <c r="F24" s="280">
        <f>SUM(F20:F23)</f>
        <v>100000000</v>
      </c>
      <c r="G24" s="280">
        <f>SUM(G20:G23)</f>
        <v>0</v>
      </c>
      <c r="H24" s="280">
        <f>SUM(H20:H23)</f>
        <v>0</v>
      </c>
      <c r="I24" s="280">
        <f>SUM(I20:I23)</f>
        <v>0</v>
      </c>
      <c r="J24" s="285">
        <f>SUM(J20:J23)</f>
        <v>0</v>
      </c>
      <c r="K24" s="285"/>
      <c r="L24" s="285"/>
      <c r="M24" s="285"/>
      <c r="N24" s="285"/>
      <c r="O24" s="285"/>
      <c r="P24" s="285"/>
      <c r="Q24" s="249">
        <f t="shared" si="0"/>
        <v>0</v>
      </c>
      <c r="R24" s="285"/>
      <c r="S24" s="285"/>
      <c r="T24" s="849"/>
      <c r="U24" s="249">
        <f t="shared" si="1"/>
        <v>0</v>
      </c>
    </row>
    <row r="25" spans="1:21" ht="24" customHeight="1">
      <c r="A25" s="392">
        <v>22202</v>
      </c>
      <c r="B25" s="246" t="s">
        <v>133</v>
      </c>
      <c r="C25" s="246">
        <v>4799980</v>
      </c>
      <c r="D25" s="246">
        <v>0</v>
      </c>
      <c r="E25" s="246">
        <v>0</v>
      </c>
      <c r="F25" s="246">
        <v>11800000</v>
      </c>
      <c r="G25" s="246">
        <v>24000000</v>
      </c>
      <c r="H25" s="246">
        <v>30000000</v>
      </c>
      <c r="I25" s="246">
        <v>17875200</v>
      </c>
      <c r="J25" s="249">
        <v>17875200</v>
      </c>
      <c r="K25" s="249">
        <v>0</v>
      </c>
      <c r="L25" s="249">
        <v>431733818</v>
      </c>
      <c r="M25" s="249">
        <f>302213672+98211600</f>
        <v>400425272</v>
      </c>
      <c r="N25" s="249">
        <f>M25</f>
        <v>400425272</v>
      </c>
      <c r="O25" s="249">
        <v>150000000</v>
      </c>
      <c r="P25" s="249">
        <v>200000000</v>
      </c>
      <c r="Q25" s="249">
        <f t="shared" si="0"/>
        <v>-200425272</v>
      </c>
      <c r="R25" s="249">
        <v>250000000</v>
      </c>
      <c r="S25" s="249">
        <v>300000000</v>
      </c>
      <c r="T25" s="848">
        <v>350000000</v>
      </c>
      <c r="U25" s="249">
        <f t="shared" si="1"/>
        <v>50000000</v>
      </c>
    </row>
    <row r="26" spans="1:21" ht="24" customHeight="1">
      <c r="A26" s="392">
        <v>22203</v>
      </c>
      <c r="B26" s="246" t="s">
        <v>127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9">
        <v>0</v>
      </c>
      <c r="K26" s="249">
        <v>0</v>
      </c>
      <c r="L26" s="249">
        <v>59733400</v>
      </c>
      <c r="M26" s="249">
        <f>41813380+5000000</f>
        <v>46813380</v>
      </c>
      <c r="N26" s="249">
        <f>41813380+5000000</f>
        <v>46813380</v>
      </c>
      <c r="O26" s="249">
        <v>30000000</v>
      </c>
      <c r="P26" s="249">
        <v>55000000</v>
      </c>
      <c r="Q26" s="249">
        <f t="shared" si="0"/>
        <v>8186620</v>
      </c>
      <c r="R26" s="249">
        <v>50000000</v>
      </c>
      <c r="S26" s="249">
        <v>50000000</v>
      </c>
      <c r="T26" s="848">
        <v>50000000</v>
      </c>
      <c r="U26" s="249">
        <f t="shared" si="1"/>
        <v>0</v>
      </c>
    </row>
    <row r="27" spans="1:21" ht="24" customHeight="1">
      <c r="A27" s="392">
        <v>22204</v>
      </c>
      <c r="B27" s="246" t="s">
        <v>128</v>
      </c>
      <c r="C27" s="246">
        <v>15436990</v>
      </c>
      <c r="D27" s="246">
        <f>23000000+92-14000000</f>
        <v>9000092</v>
      </c>
      <c r="E27" s="246">
        <v>9000092</v>
      </c>
      <c r="F27" s="246">
        <v>29000092</v>
      </c>
      <c r="G27" s="246">
        <v>35200000</v>
      </c>
      <c r="H27" s="246">
        <v>44000000</v>
      </c>
      <c r="I27" s="246">
        <v>39873274</v>
      </c>
      <c r="J27" s="249">
        <v>49000000</v>
      </c>
      <c r="K27" s="249">
        <v>1862000</v>
      </c>
      <c r="L27" s="249">
        <v>88225200</v>
      </c>
      <c r="M27" s="249">
        <f>88225200*70%+40000000</f>
        <v>101757640</v>
      </c>
      <c r="N27" s="249">
        <f>88225200*70%+40000000</f>
        <v>101757640</v>
      </c>
      <c r="O27" s="249">
        <v>0</v>
      </c>
      <c r="P27" s="249">
        <v>20000000</v>
      </c>
      <c r="Q27" s="249">
        <f t="shared" si="0"/>
        <v>-81757640</v>
      </c>
      <c r="R27" s="249">
        <v>15000000</v>
      </c>
      <c r="S27" s="249">
        <v>25000000</v>
      </c>
      <c r="T27" s="848">
        <v>25000000</v>
      </c>
      <c r="U27" s="249">
        <f t="shared" si="1"/>
        <v>0</v>
      </c>
    </row>
    <row r="28" spans="1:21" ht="24" customHeight="1">
      <c r="A28" s="392">
        <v>22208</v>
      </c>
      <c r="B28" s="246" t="s">
        <v>485</v>
      </c>
      <c r="C28" s="246"/>
      <c r="D28" s="246"/>
      <c r="E28" s="246"/>
      <c r="F28" s="246"/>
      <c r="G28" s="246"/>
      <c r="H28" s="246"/>
      <c r="I28" s="246"/>
      <c r="J28" s="249"/>
      <c r="K28" s="249"/>
      <c r="L28" s="249">
        <v>54000000</v>
      </c>
      <c r="M28" s="249">
        <f>54000000/3500*6000</f>
        <v>92571428.571428582</v>
      </c>
      <c r="N28" s="249">
        <f>54000000/3500*6000</f>
        <v>92571428.571428582</v>
      </c>
      <c r="O28" s="249">
        <v>90000000</v>
      </c>
      <c r="P28" s="249">
        <v>180000000</v>
      </c>
      <c r="Q28" s="249">
        <f t="shared" si="0"/>
        <v>87428571.428571418</v>
      </c>
      <c r="R28" s="249">
        <v>180000000</v>
      </c>
      <c r="S28" s="249">
        <v>180000000</v>
      </c>
      <c r="T28" s="848">
        <v>180000000</v>
      </c>
      <c r="U28" s="249">
        <f t="shared" si="1"/>
        <v>0</v>
      </c>
    </row>
    <row r="29" spans="1:21" ht="24" customHeight="1">
      <c r="A29" s="392"/>
      <c r="B29" s="280" t="s">
        <v>92</v>
      </c>
      <c r="C29" s="246"/>
      <c r="D29" s="246"/>
      <c r="E29" s="246"/>
      <c r="F29" s="246">
        <v>0</v>
      </c>
      <c r="G29" s="246">
        <v>13280000</v>
      </c>
      <c r="H29" s="246">
        <v>16600000</v>
      </c>
      <c r="I29" s="246">
        <v>9682400</v>
      </c>
      <c r="J29" s="249">
        <v>9682400</v>
      </c>
      <c r="K29" s="285">
        <f>SUM(K25:K28)</f>
        <v>1862000</v>
      </c>
      <c r="L29" s="285" t="e">
        <f>#REF!+L27+L26+L25</f>
        <v>#REF!</v>
      </c>
      <c r="M29" s="285">
        <f>SUM(M25:M28)</f>
        <v>641567720.57142854</v>
      </c>
      <c r="N29" s="285">
        <f>SUM(N25:N28)</f>
        <v>641567720.57142854</v>
      </c>
      <c r="O29" s="285">
        <f>SUM(O25:O28)</f>
        <v>270000000</v>
      </c>
      <c r="P29" s="285">
        <f>SUM(P25:P28)</f>
        <v>455000000</v>
      </c>
      <c r="Q29" s="249">
        <f t="shared" si="0"/>
        <v>-186567720.57142854</v>
      </c>
      <c r="R29" s="285">
        <f>SUM(R25:R28)</f>
        <v>495000000</v>
      </c>
      <c r="S29" s="285">
        <f>SUM(S25:S28)</f>
        <v>555000000</v>
      </c>
      <c r="T29" s="849">
        <f>SUM(T25:T28)</f>
        <v>605000000</v>
      </c>
      <c r="U29" s="285">
        <f t="shared" si="1"/>
        <v>50000000</v>
      </c>
    </row>
    <row r="30" spans="1:21" ht="24" customHeight="1">
      <c r="A30" s="476">
        <v>2230</v>
      </c>
      <c r="B30" s="280" t="s">
        <v>130</v>
      </c>
      <c r="C30" s="246"/>
      <c r="D30" s="246">
        <v>0</v>
      </c>
      <c r="E30" s="246">
        <v>0</v>
      </c>
      <c r="F30" s="246">
        <v>2000000</v>
      </c>
      <c r="G30" s="246">
        <v>16000000</v>
      </c>
      <c r="H30" s="246">
        <v>20000000</v>
      </c>
      <c r="I30" s="246">
        <v>14896000</v>
      </c>
      <c r="J30" s="249">
        <v>20000000</v>
      </c>
      <c r="K30" s="249"/>
      <c r="L30" s="249"/>
      <c r="M30" s="249"/>
      <c r="N30" s="249"/>
      <c r="O30" s="249"/>
      <c r="P30" s="249"/>
      <c r="Q30" s="249">
        <f t="shared" si="0"/>
        <v>0</v>
      </c>
      <c r="R30" s="249"/>
      <c r="S30" s="249"/>
      <c r="T30" s="848"/>
      <c r="U30" s="249">
        <f t="shared" si="1"/>
        <v>0</v>
      </c>
    </row>
    <row r="31" spans="1:21" ht="24" customHeight="1">
      <c r="A31" s="392">
        <v>22301</v>
      </c>
      <c r="B31" s="246" t="s">
        <v>345</v>
      </c>
      <c r="C31" s="246"/>
      <c r="D31" s="246">
        <v>0</v>
      </c>
      <c r="E31" s="246">
        <v>0</v>
      </c>
      <c r="F31" s="246">
        <v>9000200</v>
      </c>
      <c r="G31" s="246">
        <v>18400000</v>
      </c>
      <c r="H31" s="246">
        <v>23000000</v>
      </c>
      <c r="I31" s="246">
        <v>13704320</v>
      </c>
      <c r="J31" s="249">
        <v>13704320</v>
      </c>
      <c r="K31" s="249">
        <v>27588136</v>
      </c>
      <c r="L31" s="249">
        <v>84208136</v>
      </c>
      <c r="M31" s="249">
        <f>58945695*70%+10000000</f>
        <v>51261986.5</v>
      </c>
      <c r="N31" s="249">
        <f>58945695*70%+10000000</f>
        <v>51261986.5</v>
      </c>
      <c r="O31" s="249">
        <v>0</v>
      </c>
      <c r="P31" s="249">
        <v>50000000</v>
      </c>
      <c r="Q31" s="249">
        <f t="shared" si="0"/>
        <v>-1261986.5</v>
      </c>
      <c r="R31" s="249">
        <v>80000000</v>
      </c>
      <c r="S31" s="249">
        <v>100000000</v>
      </c>
      <c r="T31" s="848">
        <v>100000000</v>
      </c>
      <c r="U31" s="249">
        <f t="shared" si="1"/>
        <v>0</v>
      </c>
    </row>
    <row r="32" spans="1:21" ht="24" customHeight="1">
      <c r="A32" s="392">
        <v>22302</v>
      </c>
      <c r="B32" s="246" t="s">
        <v>249</v>
      </c>
      <c r="C32" s="246">
        <v>2279995</v>
      </c>
      <c r="D32" s="246">
        <v>2545200</v>
      </c>
      <c r="E32" s="246">
        <v>2545200</v>
      </c>
      <c r="F32" s="246">
        <v>3505200</v>
      </c>
      <c r="G32" s="246">
        <v>9600000</v>
      </c>
      <c r="H32" s="246">
        <v>22000000</v>
      </c>
      <c r="I32" s="246">
        <v>16385600</v>
      </c>
      <c r="J32" s="249">
        <v>16385600</v>
      </c>
      <c r="K32" s="249">
        <v>3724000</v>
      </c>
      <c r="L32" s="249">
        <v>3724000</v>
      </c>
      <c r="M32" s="249">
        <f>3724000*70%</f>
        <v>2606800</v>
      </c>
      <c r="N32" s="249">
        <f>3724000*70%</f>
        <v>2606800</v>
      </c>
      <c r="O32" s="249">
        <v>0</v>
      </c>
      <c r="P32" s="249">
        <v>100000000</v>
      </c>
      <c r="Q32" s="249">
        <f t="shared" si="0"/>
        <v>97393200</v>
      </c>
      <c r="R32" s="249">
        <v>100000000</v>
      </c>
      <c r="S32" s="249">
        <v>25000000</v>
      </c>
      <c r="T32" s="848">
        <v>25000000</v>
      </c>
      <c r="U32" s="249">
        <f t="shared" si="1"/>
        <v>0</v>
      </c>
    </row>
    <row r="33" spans="1:21" ht="24" customHeight="1">
      <c r="A33" s="392">
        <v>22306</v>
      </c>
      <c r="B33" s="246" t="s">
        <v>1259</v>
      </c>
      <c r="C33" s="246"/>
      <c r="D33" s="246"/>
      <c r="E33" s="246"/>
      <c r="F33" s="246"/>
      <c r="G33" s="246"/>
      <c r="H33" s="246"/>
      <c r="I33" s="246"/>
      <c r="J33" s="249"/>
      <c r="K33" s="249"/>
      <c r="L33" s="249">
        <v>0</v>
      </c>
      <c r="M33" s="249">
        <v>100000000</v>
      </c>
      <c r="N33" s="249">
        <v>100000000</v>
      </c>
      <c r="O33" s="249">
        <v>100000000</v>
      </c>
      <c r="P33" s="249">
        <v>100000000</v>
      </c>
      <c r="Q33" s="249">
        <f t="shared" si="0"/>
        <v>0</v>
      </c>
      <c r="R33" s="249">
        <v>100000000</v>
      </c>
      <c r="S33" s="249">
        <v>100000000</v>
      </c>
      <c r="T33" s="848">
        <v>150000000</v>
      </c>
      <c r="U33" s="249">
        <f t="shared" si="1"/>
        <v>50000000</v>
      </c>
    </row>
    <row r="34" spans="1:21" ht="24" customHeight="1">
      <c r="A34" s="392"/>
      <c r="B34" s="280" t="s">
        <v>92</v>
      </c>
      <c r="C34" s="246">
        <v>15000000</v>
      </c>
      <c r="D34" s="246">
        <v>14000000</v>
      </c>
      <c r="E34" s="246">
        <v>9025900</v>
      </c>
      <c r="F34" s="246">
        <v>39837118</v>
      </c>
      <c r="G34" s="246">
        <v>0</v>
      </c>
      <c r="H34" s="246">
        <v>0</v>
      </c>
      <c r="I34" s="246">
        <v>0</v>
      </c>
      <c r="J34" s="249">
        <v>0</v>
      </c>
      <c r="K34" s="249">
        <v>0</v>
      </c>
      <c r="L34" s="285">
        <f>SUM(L31:L33)</f>
        <v>87932136</v>
      </c>
      <c r="M34" s="285">
        <f>SUM(M31:M33)</f>
        <v>153868786.5</v>
      </c>
      <c r="N34" s="285">
        <f>SUM(N31:N33)</f>
        <v>153868786.5</v>
      </c>
      <c r="O34" s="285">
        <f>SUM(O31:O33)</f>
        <v>100000000</v>
      </c>
      <c r="P34" s="285">
        <f>SUM(P31:P33)</f>
        <v>250000000</v>
      </c>
      <c r="Q34" s="249">
        <f t="shared" si="0"/>
        <v>96131213.5</v>
      </c>
      <c r="R34" s="285">
        <f>SUM(R31:R33)</f>
        <v>280000000</v>
      </c>
      <c r="S34" s="285">
        <f>SUM(S31:S33)</f>
        <v>225000000</v>
      </c>
      <c r="T34" s="849">
        <f>SUM(T31:T33)</f>
        <v>275000000</v>
      </c>
      <c r="U34" s="285">
        <f t="shared" si="1"/>
        <v>50000000</v>
      </c>
    </row>
    <row r="35" spans="1:21" ht="24" customHeight="1">
      <c r="A35" s="476">
        <v>270</v>
      </c>
      <c r="B35" s="280" t="s">
        <v>253</v>
      </c>
      <c r="C35" s="280">
        <f t="shared" ref="C35:J35" si="2">SUM(C25:C34)</f>
        <v>37516965</v>
      </c>
      <c r="D35" s="280">
        <f t="shared" si="2"/>
        <v>25545292</v>
      </c>
      <c r="E35" s="280">
        <f t="shared" si="2"/>
        <v>20571192</v>
      </c>
      <c r="F35" s="280">
        <f t="shared" si="2"/>
        <v>95142610</v>
      </c>
      <c r="G35" s="280">
        <f t="shared" si="2"/>
        <v>116480000</v>
      </c>
      <c r="H35" s="280">
        <f t="shared" si="2"/>
        <v>155600000</v>
      </c>
      <c r="I35" s="280">
        <f t="shared" si="2"/>
        <v>112416794</v>
      </c>
      <c r="J35" s="285">
        <f t="shared" si="2"/>
        <v>126647520</v>
      </c>
      <c r="K35" s="285">
        <v>0</v>
      </c>
      <c r="L35" s="285"/>
      <c r="M35" s="285"/>
      <c r="N35" s="285"/>
      <c r="O35" s="285">
        <v>0</v>
      </c>
      <c r="P35" s="285">
        <v>0</v>
      </c>
      <c r="Q35" s="249">
        <f t="shared" si="0"/>
        <v>0</v>
      </c>
      <c r="R35" s="285">
        <v>0</v>
      </c>
      <c r="S35" s="285">
        <v>0</v>
      </c>
      <c r="T35" s="849">
        <v>0</v>
      </c>
      <c r="U35" s="249">
        <f t="shared" si="1"/>
        <v>0</v>
      </c>
    </row>
    <row r="36" spans="1:21" ht="24" customHeight="1">
      <c r="A36" s="476">
        <v>2710</v>
      </c>
      <c r="B36" s="280" t="s">
        <v>252</v>
      </c>
      <c r="C36" s="280" t="e">
        <f>C35+C24+C18+#REF!+#REF!</f>
        <v>#REF!</v>
      </c>
      <c r="D36" s="280" t="e">
        <f>D35+D24+D18+#REF!+#REF!</f>
        <v>#REF!</v>
      </c>
      <c r="E36" s="280" t="e">
        <f>E35+E24+E18+#REF!+#REF!</f>
        <v>#REF!</v>
      </c>
      <c r="F36" s="280" t="e">
        <f>F35+F24+F18+#REF!+#REF!</f>
        <v>#REF!</v>
      </c>
      <c r="G36" s="280" t="e">
        <f>G35+G24+G18+#REF!+#REF!</f>
        <v>#REF!</v>
      </c>
      <c r="H36" s="280" t="e">
        <f>H35+H24+H18+#REF!+#REF!</f>
        <v>#REF!</v>
      </c>
      <c r="I36" s="280" t="e">
        <f>I35+I24+I18+#REF!+#REF!</f>
        <v>#REF!</v>
      </c>
      <c r="J36" s="285" t="e">
        <f>J35+J24+J18+#REF!+#REF!</f>
        <v>#REF!</v>
      </c>
      <c r="K36" s="285" t="e">
        <f>K35+#REF!+K29+K23+K17+#REF!</f>
        <v>#REF!</v>
      </c>
      <c r="L36" s="285"/>
      <c r="M36" s="285"/>
      <c r="N36" s="285"/>
      <c r="O36" s="285"/>
      <c r="P36" s="285"/>
      <c r="Q36" s="249">
        <f t="shared" si="0"/>
        <v>0</v>
      </c>
      <c r="R36" s="285"/>
      <c r="S36" s="285"/>
      <c r="T36" s="849"/>
      <c r="U36" s="249">
        <f t="shared" si="1"/>
        <v>0</v>
      </c>
    </row>
    <row r="37" spans="1:21" ht="24" customHeight="1">
      <c r="A37" s="392">
        <v>27601</v>
      </c>
      <c r="B37" s="246" t="s">
        <v>286</v>
      </c>
      <c r="C37" s="292"/>
      <c r="D37" s="292" t="s">
        <v>4</v>
      </c>
      <c r="E37" s="292"/>
      <c r="F37" s="246">
        <v>0</v>
      </c>
      <c r="G37" s="292"/>
      <c r="H37" s="292"/>
      <c r="I37" s="292"/>
      <c r="J37" s="292"/>
      <c r="K37" s="292"/>
      <c r="L37" s="249">
        <v>25000000</v>
      </c>
      <c r="M37" s="249">
        <v>16896000</v>
      </c>
      <c r="N37" s="249">
        <v>0</v>
      </c>
      <c r="O37" s="249">
        <v>20000000</v>
      </c>
      <c r="P37" s="249">
        <v>30000000</v>
      </c>
      <c r="Q37" s="249">
        <f t="shared" si="0"/>
        <v>30000000</v>
      </c>
      <c r="R37" s="249">
        <v>20000000</v>
      </c>
      <c r="S37" s="249">
        <v>40000000</v>
      </c>
      <c r="T37" s="848">
        <v>0</v>
      </c>
      <c r="U37" s="249">
        <f t="shared" si="1"/>
        <v>-40000000</v>
      </c>
    </row>
    <row r="38" spans="1:21" ht="24" customHeight="1">
      <c r="A38" s="392">
        <v>27402</v>
      </c>
      <c r="B38" s="246" t="s">
        <v>287</v>
      </c>
      <c r="C38" s="292"/>
      <c r="D38" s="274" t="s">
        <v>4</v>
      </c>
      <c r="E38" s="274"/>
      <c r="F38" s="246">
        <v>0</v>
      </c>
      <c r="G38" s="274"/>
      <c r="H38" s="274"/>
      <c r="I38" s="274"/>
      <c r="J38" s="274"/>
      <c r="K38" s="274"/>
      <c r="L38" s="249">
        <v>0</v>
      </c>
      <c r="M38" s="249">
        <v>160000000</v>
      </c>
      <c r="N38" s="249">
        <v>100000000</v>
      </c>
      <c r="O38" s="249">
        <v>120000000</v>
      </c>
      <c r="P38" s="249">
        <v>300000000</v>
      </c>
      <c r="Q38" s="249">
        <f t="shared" si="0"/>
        <v>200000000</v>
      </c>
      <c r="R38" s="249">
        <v>0</v>
      </c>
      <c r="S38" s="249">
        <v>264000000</v>
      </c>
      <c r="T38" s="848">
        <v>0</v>
      </c>
      <c r="U38" s="249">
        <f t="shared" si="1"/>
        <v>-264000000</v>
      </c>
    </row>
    <row r="39" spans="1:21" ht="24" customHeight="1">
      <c r="A39" s="392">
        <v>27502</v>
      </c>
      <c r="B39" s="246" t="s">
        <v>333</v>
      </c>
      <c r="C39" s="292"/>
      <c r="D39" s="292"/>
      <c r="E39" s="292"/>
      <c r="F39" s="274">
        <v>0</v>
      </c>
      <c r="G39" s="292"/>
      <c r="H39" s="292"/>
      <c r="I39" s="292"/>
      <c r="J39" s="292"/>
      <c r="K39" s="292"/>
      <c r="L39" s="249">
        <v>5586000</v>
      </c>
      <c r="M39" s="249">
        <f>5586000*70%</f>
        <v>3910199.9999999995</v>
      </c>
      <c r="N39" s="249">
        <v>0</v>
      </c>
      <c r="O39" s="249">
        <v>0</v>
      </c>
      <c r="P39" s="249">
        <v>0</v>
      </c>
      <c r="Q39" s="249">
        <f t="shared" si="0"/>
        <v>0</v>
      </c>
      <c r="R39" s="249">
        <v>0</v>
      </c>
      <c r="S39" s="249">
        <v>0</v>
      </c>
      <c r="T39" s="848">
        <v>0</v>
      </c>
      <c r="U39" s="249">
        <f t="shared" si="1"/>
        <v>0</v>
      </c>
    </row>
    <row r="40" spans="1:21" ht="24" customHeight="1">
      <c r="A40" s="392">
        <v>27604</v>
      </c>
      <c r="B40" s="246" t="s">
        <v>334</v>
      </c>
      <c r="C40" s="292"/>
      <c r="D40" s="292"/>
      <c r="E40" s="292"/>
      <c r="F40" s="274">
        <v>0</v>
      </c>
      <c r="G40" s="274"/>
      <c r="H40" s="274"/>
      <c r="I40" s="274"/>
      <c r="J40" s="274"/>
      <c r="K40" s="274"/>
      <c r="L40" s="249">
        <v>3996400</v>
      </c>
      <c r="M40" s="249">
        <f>3996400+5000000</f>
        <v>8996400</v>
      </c>
      <c r="N40" s="249">
        <v>0</v>
      </c>
      <c r="O40" s="249">
        <v>0</v>
      </c>
      <c r="P40" s="249">
        <v>0</v>
      </c>
      <c r="Q40" s="249">
        <f t="shared" si="0"/>
        <v>0</v>
      </c>
      <c r="R40" s="249">
        <v>0</v>
      </c>
      <c r="S40" s="249">
        <v>0</v>
      </c>
      <c r="T40" s="848">
        <v>0</v>
      </c>
      <c r="U40" s="249">
        <f t="shared" si="1"/>
        <v>0</v>
      </c>
    </row>
    <row r="41" spans="1:21" ht="24" customHeight="1">
      <c r="A41" s="392">
        <v>27608</v>
      </c>
      <c r="B41" s="246" t="s">
        <v>335</v>
      </c>
      <c r="C41" s="292"/>
      <c r="D41" s="292"/>
      <c r="E41" s="292"/>
      <c r="F41" s="274"/>
      <c r="G41" s="274"/>
      <c r="H41" s="274"/>
      <c r="I41" s="274"/>
      <c r="J41" s="274"/>
      <c r="K41" s="274"/>
      <c r="L41" s="249">
        <v>0</v>
      </c>
      <c r="M41" s="249">
        <v>30000000</v>
      </c>
      <c r="N41" s="249">
        <v>0</v>
      </c>
      <c r="O41" s="249">
        <v>0</v>
      </c>
      <c r="P41" s="249">
        <v>0</v>
      </c>
      <c r="Q41" s="249">
        <f t="shared" si="0"/>
        <v>0</v>
      </c>
      <c r="R41" s="249">
        <v>30000000</v>
      </c>
      <c r="S41" s="249">
        <v>0</v>
      </c>
      <c r="T41" s="848">
        <v>0</v>
      </c>
      <c r="U41" s="249">
        <f t="shared" si="1"/>
        <v>0</v>
      </c>
    </row>
    <row r="42" spans="1:21" ht="24" customHeight="1">
      <c r="A42" s="392">
        <v>27608</v>
      </c>
      <c r="B42" s="246" t="s">
        <v>1069</v>
      </c>
      <c r="C42" s="292"/>
      <c r="D42" s="292"/>
      <c r="E42" s="292"/>
      <c r="F42" s="274"/>
      <c r="G42" s="274"/>
      <c r="H42" s="274"/>
      <c r="I42" s="274"/>
      <c r="J42" s="274"/>
      <c r="K42" s="274"/>
      <c r="L42" s="249"/>
      <c r="M42" s="249"/>
      <c r="N42" s="249"/>
      <c r="O42" s="249"/>
      <c r="P42" s="249"/>
      <c r="Q42" s="249"/>
      <c r="R42" s="249">
        <v>300000000</v>
      </c>
      <c r="S42" s="249">
        <v>0</v>
      </c>
      <c r="T42" s="848">
        <v>0</v>
      </c>
      <c r="U42" s="249">
        <f t="shared" si="1"/>
        <v>0</v>
      </c>
    </row>
    <row r="43" spans="1:21" ht="24" customHeight="1">
      <c r="A43" s="392"/>
      <c r="B43" s="280" t="s">
        <v>92</v>
      </c>
      <c r="C43" s="292"/>
      <c r="D43" s="292"/>
      <c r="E43" s="292"/>
      <c r="F43" s="274"/>
      <c r="G43" s="274"/>
      <c r="H43" s="274"/>
      <c r="I43" s="274"/>
      <c r="J43" s="274"/>
      <c r="K43" s="274"/>
      <c r="L43" s="249"/>
      <c r="M43" s="249"/>
      <c r="N43" s="249"/>
      <c r="O43" s="285">
        <f>SUM(O37:O41)</f>
        <v>140000000</v>
      </c>
      <c r="P43" s="285">
        <f>SUM(P37:P41)</f>
        <v>330000000</v>
      </c>
      <c r="Q43" s="249"/>
      <c r="R43" s="285">
        <f>SUM(R37:R42)</f>
        <v>350000000</v>
      </c>
      <c r="S43" s="285">
        <f>SUM(S37:S42)</f>
        <v>304000000</v>
      </c>
      <c r="T43" s="849">
        <f>SUM(T37:T42)</f>
        <v>0</v>
      </c>
      <c r="U43" s="285">
        <f t="shared" si="1"/>
        <v>-304000000</v>
      </c>
    </row>
    <row r="44" spans="1:21" s="680" customFormat="1" ht="24" customHeight="1">
      <c r="A44" s="476">
        <v>2720</v>
      </c>
      <c r="B44" s="280" t="s">
        <v>502</v>
      </c>
      <c r="C44" s="478"/>
      <c r="D44" s="478"/>
      <c r="E44" s="478"/>
      <c r="F44" s="279"/>
      <c r="G44" s="279"/>
      <c r="H44" s="279"/>
      <c r="I44" s="279"/>
      <c r="J44" s="279"/>
      <c r="K44" s="279"/>
      <c r="L44" s="285"/>
      <c r="M44" s="285"/>
      <c r="N44" s="285"/>
      <c r="O44" s="285"/>
      <c r="P44" s="285"/>
      <c r="Q44" s="285"/>
      <c r="R44" s="285"/>
      <c r="S44" s="285"/>
      <c r="T44" s="849"/>
      <c r="U44" s="249">
        <f t="shared" si="1"/>
        <v>0</v>
      </c>
    </row>
    <row r="45" spans="1:21" ht="24" customHeight="1">
      <c r="A45" s="392">
        <v>27202</v>
      </c>
      <c r="B45" s="246" t="s">
        <v>1364</v>
      </c>
      <c r="C45" s="292"/>
      <c r="D45" s="292"/>
      <c r="E45" s="292"/>
      <c r="F45" s="274"/>
      <c r="G45" s="274"/>
      <c r="H45" s="274"/>
      <c r="I45" s="274"/>
      <c r="J45" s="274"/>
      <c r="K45" s="274"/>
      <c r="L45" s="249"/>
      <c r="M45" s="249"/>
      <c r="N45" s="249"/>
      <c r="O45" s="249">
        <v>0</v>
      </c>
      <c r="P45" s="249">
        <v>70000000</v>
      </c>
      <c r="Q45" s="249"/>
      <c r="R45" s="249">
        <v>0</v>
      </c>
      <c r="S45" s="249">
        <v>400000000</v>
      </c>
      <c r="T45" s="848">
        <v>1200000000</v>
      </c>
      <c r="U45" s="249">
        <f t="shared" si="1"/>
        <v>800000000</v>
      </c>
    </row>
    <row r="46" spans="1:21" ht="24" customHeight="1">
      <c r="A46" s="392"/>
      <c r="B46" s="280" t="s">
        <v>92</v>
      </c>
      <c r="C46" s="292"/>
      <c r="D46" s="292"/>
      <c r="E46" s="292"/>
      <c r="F46" s="274"/>
      <c r="G46" s="274"/>
      <c r="H46" s="274"/>
      <c r="I46" s="274"/>
      <c r="J46" s="274"/>
      <c r="K46" s="274"/>
      <c r="L46" s="249"/>
      <c r="M46" s="249"/>
      <c r="N46" s="249"/>
      <c r="O46" s="249"/>
      <c r="P46" s="285">
        <f>SUM(P45)</f>
        <v>70000000</v>
      </c>
      <c r="Q46" s="249"/>
      <c r="R46" s="285">
        <f>SUM(R45)</f>
        <v>0</v>
      </c>
      <c r="S46" s="285">
        <f>SUM(S45)</f>
        <v>400000000</v>
      </c>
      <c r="T46" s="849">
        <f>SUM(T45)</f>
        <v>1200000000</v>
      </c>
      <c r="U46" s="249">
        <f t="shared" si="1"/>
        <v>800000000</v>
      </c>
    </row>
    <row r="47" spans="1:21" ht="24" customHeight="1">
      <c r="A47" s="476">
        <v>2810</v>
      </c>
      <c r="B47" s="280" t="s">
        <v>1376</v>
      </c>
      <c r="C47" s="292"/>
      <c r="D47" s="292"/>
      <c r="E47" s="292"/>
      <c r="F47" s="274"/>
      <c r="G47" s="274"/>
      <c r="H47" s="274"/>
      <c r="I47" s="274"/>
      <c r="J47" s="274"/>
      <c r="K47" s="274"/>
      <c r="L47" s="249"/>
      <c r="M47" s="249"/>
      <c r="N47" s="249"/>
      <c r="O47" s="249"/>
      <c r="P47" s="285"/>
      <c r="Q47" s="249"/>
      <c r="R47" s="285"/>
      <c r="S47" s="285"/>
      <c r="T47" s="849"/>
      <c r="U47" s="249">
        <f t="shared" si="1"/>
        <v>0</v>
      </c>
    </row>
    <row r="48" spans="1:21" ht="24" customHeight="1">
      <c r="A48" s="392">
        <v>28102</v>
      </c>
      <c r="B48" s="246" t="s">
        <v>509</v>
      </c>
      <c r="C48" s="292"/>
      <c r="D48" s="292"/>
      <c r="E48" s="292"/>
      <c r="F48" s="274"/>
      <c r="G48" s="274"/>
      <c r="H48" s="274"/>
      <c r="I48" s="274"/>
      <c r="J48" s="274"/>
      <c r="K48" s="274"/>
      <c r="L48" s="249"/>
      <c r="M48" s="249"/>
      <c r="N48" s="249"/>
      <c r="O48" s="249"/>
      <c r="P48" s="285"/>
      <c r="Q48" s="249"/>
      <c r="R48" s="285"/>
      <c r="S48" s="285"/>
      <c r="T48" s="848">
        <v>150000000</v>
      </c>
      <c r="U48" s="249">
        <f t="shared" si="1"/>
        <v>150000000</v>
      </c>
    </row>
    <row r="49" spans="1:21" ht="24" customHeight="1">
      <c r="A49" s="392"/>
      <c r="B49" s="280" t="s">
        <v>92</v>
      </c>
      <c r="C49" s="292"/>
      <c r="D49" s="292"/>
      <c r="E49" s="292"/>
      <c r="F49" s="274"/>
      <c r="G49" s="274"/>
      <c r="H49" s="274"/>
      <c r="I49" s="274"/>
      <c r="J49" s="274"/>
      <c r="K49" s="274"/>
      <c r="L49" s="249"/>
      <c r="M49" s="249"/>
      <c r="N49" s="249"/>
      <c r="O49" s="249"/>
      <c r="P49" s="285"/>
      <c r="Q49" s="249"/>
      <c r="R49" s="285"/>
      <c r="S49" s="285"/>
      <c r="T49" s="285">
        <f>SUM(T48)</f>
        <v>150000000</v>
      </c>
      <c r="U49" s="285">
        <f t="shared" si="1"/>
        <v>150000000</v>
      </c>
    </row>
    <row r="50" spans="1:21" ht="24" customHeight="1">
      <c r="A50" s="392"/>
      <c r="B50" s="280" t="s">
        <v>37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79" t="e">
        <f>#REF!+L34+L29+L23+L8</f>
        <v>#REF!</v>
      </c>
      <c r="M50" s="279" t="e">
        <f>#REF!+#REF!+M34+M29+M23+M8</f>
        <v>#REF!</v>
      </c>
      <c r="N50" s="279" t="e">
        <f>#REF!+#REF!+N34+N29+N23+N8</f>
        <v>#REF!</v>
      </c>
      <c r="O50" s="279">
        <f>O43+O34+O29+O23+O8</f>
        <v>1419670400</v>
      </c>
      <c r="P50" s="279">
        <f>P46+P43+P34+P29+P23+P8</f>
        <v>3140570080</v>
      </c>
      <c r="Q50" s="249" t="e">
        <f t="shared" si="0"/>
        <v>#REF!</v>
      </c>
      <c r="R50" s="279">
        <f>R46+R43+R34+R29+R23+R8</f>
        <v>3392610240</v>
      </c>
      <c r="S50" s="279">
        <f>S46+S43+S34+S29+S23+S8</f>
        <v>4569451200</v>
      </c>
      <c r="T50" s="279">
        <f>T46+T43+T34+T29+T23+T8+T49</f>
        <v>6502976544</v>
      </c>
      <c r="U50" s="285">
        <f t="shared" si="1"/>
        <v>1933525344</v>
      </c>
    </row>
    <row r="52" spans="1:21" ht="24" customHeight="1">
      <c r="Q52" s="681"/>
      <c r="R52" s="681"/>
      <c r="S52" s="681"/>
      <c r="T52" s="681"/>
      <c r="U52" s="681"/>
    </row>
  </sheetData>
  <pageMargins left="0.7" right="0.7" top="0.75" bottom="0.75" header="0.3" footer="0.3"/>
  <pageSetup scale="55" orientation="portrait" r:id="rId1"/>
  <headerFooter>
    <oddHeader>&amp;C&amp;"Algerian,Bold"&amp;36  WASAARAdDA WARSHADAHA</oddHeader>
    <oddFooter>&amp;R&amp;"Times New Roman,Bold"&amp;18 60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0" zoomScale="60" workbookViewId="0">
      <selection activeCell="G55" sqref="G55"/>
    </sheetView>
  </sheetViews>
  <sheetFormatPr defaultRowHeight="24" customHeight="1"/>
  <cols>
    <col min="1" max="1" width="20.1640625" style="515" bestFit="1" customWidth="1"/>
    <col min="2" max="2" width="85.5" style="515" customWidth="1"/>
    <col min="3" max="4" width="27.5" style="515" hidden="1" customWidth="1"/>
    <col min="5" max="5" width="30.33203125" style="515" hidden="1" customWidth="1"/>
    <col min="6" max="7" width="32.5" style="515" customWidth="1"/>
    <col min="8" max="8" width="30.33203125" style="695" customWidth="1"/>
    <col min="9" max="18" width="9.33203125" style="515" customWidth="1"/>
    <col min="19" max="16384" width="9.33203125" style="515"/>
  </cols>
  <sheetData>
    <row r="1" spans="1:8" ht="24" customHeight="1">
      <c r="A1" s="478" t="s">
        <v>40</v>
      </c>
      <c r="B1" s="545" t="s">
        <v>1031</v>
      </c>
      <c r="C1" s="545"/>
      <c r="D1" s="292"/>
      <c r="E1" s="292"/>
      <c r="F1" s="292"/>
      <c r="G1" s="292"/>
      <c r="H1" s="246"/>
    </row>
    <row r="2" spans="1:8" ht="24" customHeight="1">
      <c r="A2" s="478" t="s">
        <v>25</v>
      </c>
      <c r="B2" s="478" t="s">
        <v>26</v>
      </c>
      <c r="C2" s="482" t="s">
        <v>814</v>
      </c>
      <c r="D2" s="482" t="s">
        <v>874</v>
      </c>
      <c r="E2" s="482" t="s">
        <v>973</v>
      </c>
      <c r="F2" s="482" t="s">
        <v>1160</v>
      </c>
      <c r="G2" s="482" t="s">
        <v>1320</v>
      </c>
      <c r="H2" s="286" t="s">
        <v>56</v>
      </c>
    </row>
    <row r="3" spans="1:8" ht="24" customHeight="1">
      <c r="A3" s="476">
        <v>210</v>
      </c>
      <c r="B3" s="280" t="s">
        <v>137</v>
      </c>
      <c r="C3" s="292"/>
      <c r="D3" s="292"/>
      <c r="E3" s="292"/>
      <c r="F3" s="292"/>
      <c r="G3" s="292"/>
      <c r="H3" s="246"/>
    </row>
    <row r="4" spans="1:8" ht="24" customHeight="1">
      <c r="A4" s="476">
        <v>2110</v>
      </c>
      <c r="B4" s="280" t="s">
        <v>213</v>
      </c>
      <c r="C4" s="292"/>
      <c r="D4" s="292"/>
      <c r="E4" s="292"/>
      <c r="F4" s="292"/>
      <c r="G4" s="292"/>
      <c r="H4" s="246"/>
    </row>
    <row r="5" spans="1:8" ht="24" customHeight="1">
      <c r="A5" s="392">
        <v>21101</v>
      </c>
      <c r="B5" s="246" t="s">
        <v>28</v>
      </c>
      <c r="C5" s="246">
        <v>0</v>
      </c>
      <c r="D5" s="246">
        <v>949216320</v>
      </c>
      <c r="E5" s="246">
        <v>1082502720</v>
      </c>
      <c r="F5" s="246">
        <v>1279212480</v>
      </c>
      <c r="G5" s="246">
        <v>1650943008</v>
      </c>
      <c r="H5" s="246">
        <f>G5-F5</f>
        <v>371730528</v>
      </c>
    </row>
    <row r="6" spans="1:8" ht="24" customHeight="1">
      <c r="A6" s="392">
        <v>21102</v>
      </c>
      <c r="B6" s="246" t="s">
        <v>554</v>
      </c>
      <c r="C6" s="246">
        <v>0</v>
      </c>
      <c r="D6" s="246">
        <v>194400000</v>
      </c>
      <c r="E6" s="246">
        <v>194400000</v>
      </c>
      <c r="F6" s="282">
        <v>194400000</v>
      </c>
      <c r="G6" s="282">
        <v>194400000</v>
      </c>
      <c r="H6" s="246">
        <f t="shared" ref="H6:H55" si="0">G6-F6</f>
        <v>0</v>
      </c>
    </row>
    <row r="7" spans="1:8" ht="24" customHeight="1">
      <c r="A7" s="392">
        <v>21103</v>
      </c>
      <c r="B7" s="246" t="s">
        <v>30</v>
      </c>
      <c r="C7" s="246">
        <v>0</v>
      </c>
      <c r="D7" s="246">
        <v>216000000</v>
      </c>
      <c r="E7" s="246">
        <v>234000000</v>
      </c>
      <c r="F7" s="282">
        <v>306000000</v>
      </c>
      <c r="G7" s="282">
        <v>306000000</v>
      </c>
      <c r="H7" s="246">
        <f t="shared" si="0"/>
        <v>0</v>
      </c>
    </row>
    <row r="8" spans="1:8" ht="24" customHeight="1">
      <c r="A8" s="392">
        <v>21105</v>
      </c>
      <c r="B8" s="246" t="s">
        <v>1306</v>
      </c>
      <c r="C8" s="246">
        <v>0</v>
      </c>
      <c r="D8" s="246">
        <v>0</v>
      </c>
      <c r="E8" s="246">
        <v>0</v>
      </c>
      <c r="F8" s="282">
        <v>72000000</v>
      </c>
      <c r="G8" s="282">
        <v>72000000</v>
      </c>
      <c r="H8" s="246">
        <f t="shared" si="0"/>
        <v>0</v>
      </c>
    </row>
    <row r="9" spans="1:8" ht="24" customHeight="1">
      <c r="A9" s="392"/>
      <c r="B9" s="280" t="s">
        <v>92</v>
      </c>
      <c r="C9" s="280">
        <v>0</v>
      </c>
      <c r="D9" s="280">
        <f>SUM(D5:D8)</f>
        <v>1359616320</v>
      </c>
      <c r="E9" s="280">
        <f>SUM(E5:E8)</f>
        <v>1510902720</v>
      </c>
      <c r="F9" s="280">
        <f>SUM(F5:F8)</f>
        <v>1851612480</v>
      </c>
      <c r="G9" s="280">
        <f>SUM(G5:G8)</f>
        <v>2223343008</v>
      </c>
      <c r="H9" s="280">
        <f t="shared" si="0"/>
        <v>371730528</v>
      </c>
    </row>
    <row r="10" spans="1:8" ht="24" customHeight="1">
      <c r="A10" s="476">
        <v>220</v>
      </c>
      <c r="B10" s="280" t="s">
        <v>225</v>
      </c>
      <c r="C10" s="246"/>
      <c r="D10" s="246"/>
      <c r="E10" s="246"/>
      <c r="F10" s="246"/>
      <c r="G10" s="246"/>
      <c r="H10" s="246">
        <f t="shared" si="0"/>
        <v>0</v>
      </c>
    </row>
    <row r="11" spans="1:8" ht="24" customHeight="1">
      <c r="A11" s="476">
        <v>2210</v>
      </c>
      <c r="B11" s="280" t="s">
        <v>226</v>
      </c>
      <c r="C11" s="246"/>
      <c r="D11" s="246"/>
      <c r="E11" s="246"/>
      <c r="F11" s="246"/>
      <c r="G11" s="246"/>
      <c r="H11" s="246">
        <f t="shared" si="0"/>
        <v>0</v>
      </c>
    </row>
    <row r="12" spans="1:8" ht="24" customHeight="1">
      <c r="A12" s="392">
        <v>22101</v>
      </c>
      <c r="B12" s="246" t="s">
        <v>33</v>
      </c>
      <c r="C12" s="246">
        <v>0</v>
      </c>
      <c r="D12" s="246">
        <v>68247600</v>
      </c>
      <c r="E12" s="246">
        <v>68247600</v>
      </c>
      <c r="F12" s="246">
        <v>68247600</v>
      </c>
      <c r="G12" s="246">
        <v>68247600</v>
      </c>
      <c r="H12" s="246">
        <f t="shared" si="0"/>
        <v>0</v>
      </c>
    </row>
    <row r="13" spans="1:8" ht="24" customHeight="1">
      <c r="A13" s="392">
        <v>22102</v>
      </c>
      <c r="B13" s="246" t="s">
        <v>124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f t="shared" si="0"/>
        <v>0</v>
      </c>
    </row>
    <row r="14" spans="1:8" ht="24" customHeight="1">
      <c r="A14" s="392">
        <v>22103</v>
      </c>
      <c r="B14" s="246" t="s">
        <v>125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f t="shared" si="0"/>
        <v>0</v>
      </c>
    </row>
    <row r="15" spans="1:8" ht="24" customHeight="1">
      <c r="A15" s="392">
        <v>22104</v>
      </c>
      <c r="B15" s="246" t="s">
        <v>157</v>
      </c>
      <c r="C15" s="246">
        <v>0</v>
      </c>
      <c r="D15" s="246">
        <v>10855915</v>
      </c>
      <c r="E15" s="246">
        <v>10855915</v>
      </c>
      <c r="F15" s="246">
        <v>10855915</v>
      </c>
      <c r="G15" s="246">
        <v>10855915</v>
      </c>
      <c r="H15" s="246">
        <f t="shared" si="0"/>
        <v>0</v>
      </c>
    </row>
    <row r="16" spans="1:8" ht="24" customHeight="1">
      <c r="A16" s="392">
        <v>22105</v>
      </c>
      <c r="B16" s="246" t="s">
        <v>135</v>
      </c>
      <c r="C16" s="246">
        <v>0</v>
      </c>
      <c r="D16" s="246">
        <v>0</v>
      </c>
      <c r="E16" s="246">
        <v>158400000</v>
      </c>
      <c r="F16" s="246">
        <v>158400000</v>
      </c>
      <c r="G16" s="246">
        <v>158400000</v>
      </c>
      <c r="H16" s="246">
        <f t="shared" si="0"/>
        <v>0</v>
      </c>
    </row>
    <row r="17" spans="1:8" ht="24" customHeight="1">
      <c r="A17" s="392">
        <v>22106</v>
      </c>
      <c r="B17" s="246" t="s">
        <v>126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f t="shared" si="0"/>
        <v>0</v>
      </c>
    </row>
    <row r="18" spans="1:8" ht="24" customHeight="1">
      <c r="A18" s="392">
        <v>22107</v>
      </c>
      <c r="B18" s="246" t="s">
        <v>48</v>
      </c>
      <c r="C18" s="246">
        <v>0</v>
      </c>
      <c r="D18" s="246">
        <v>21824760</v>
      </c>
      <c r="E18" s="246">
        <v>21824760</v>
      </c>
      <c r="F18" s="246">
        <v>21824760</v>
      </c>
      <c r="G18" s="246">
        <v>21824760</v>
      </c>
      <c r="H18" s="246">
        <f t="shared" si="0"/>
        <v>0</v>
      </c>
    </row>
    <row r="19" spans="1:8" ht="24" customHeight="1">
      <c r="A19" s="392">
        <v>22108</v>
      </c>
      <c r="B19" s="246" t="s">
        <v>93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f t="shared" si="0"/>
        <v>0</v>
      </c>
    </row>
    <row r="20" spans="1:8" ht="24" customHeight="1">
      <c r="A20" s="392">
        <v>22109</v>
      </c>
      <c r="B20" s="246" t="s">
        <v>136</v>
      </c>
      <c r="C20" s="246">
        <v>0</v>
      </c>
      <c r="D20" s="246">
        <f>13937600*70%</f>
        <v>9756320</v>
      </c>
      <c r="E20" s="246">
        <f>13937600*70%</f>
        <v>9756320</v>
      </c>
      <c r="F20" s="246">
        <f>13937600*70%</f>
        <v>9756320</v>
      </c>
      <c r="G20" s="246">
        <f>13937600*70%</f>
        <v>9756320</v>
      </c>
      <c r="H20" s="246">
        <f t="shared" si="0"/>
        <v>0</v>
      </c>
    </row>
    <row r="21" spans="1:8" ht="24" customHeight="1">
      <c r="A21" s="392">
        <v>22112</v>
      </c>
      <c r="B21" s="246" t="s">
        <v>35</v>
      </c>
      <c r="C21" s="246">
        <v>0</v>
      </c>
      <c r="D21" s="246">
        <v>19934960</v>
      </c>
      <c r="E21" s="246">
        <v>19934960</v>
      </c>
      <c r="F21" s="246">
        <v>19934960</v>
      </c>
      <c r="G21" s="246">
        <v>19934960</v>
      </c>
      <c r="H21" s="246">
        <f t="shared" si="0"/>
        <v>0</v>
      </c>
    </row>
    <row r="22" spans="1:8" ht="24" customHeight="1">
      <c r="A22" s="392">
        <v>22114</v>
      </c>
      <c r="B22" s="246" t="s">
        <v>288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f t="shared" si="0"/>
        <v>0</v>
      </c>
    </row>
    <row r="23" spans="1:8" ht="24" customHeight="1">
      <c r="A23" s="392">
        <v>22132</v>
      </c>
      <c r="B23" s="246" t="s">
        <v>187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f t="shared" si="0"/>
        <v>0</v>
      </c>
    </row>
    <row r="24" spans="1:8" ht="24" customHeight="1">
      <c r="A24" s="392">
        <v>22137</v>
      </c>
      <c r="B24" s="246" t="s">
        <v>986</v>
      </c>
      <c r="C24" s="246"/>
      <c r="D24" s="246"/>
      <c r="E24" s="246"/>
      <c r="F24" s="246"/>
      <c r="G24" s="840">
        <v>250000000</v>
      </c>
      <c r="H24" s="246">
        <f t="shared" si="0"/>
        <v>250000000</v>
      </c>
    </row>
    <row r="25" spans="1:8" ht="24" customHeight="1">
      <c r="A25" s="392">
        <v>22163</v>
      </c>
      <c r="B25" s="246" t="s">
        <v>898</v>
      </c>
      <c r="C25" s="246">
        <v>0</v>
      </c>
      <c r="D25" s="246">
        <v>100000000</v>
      </c>
      <c r="E25" s="246">
        <v>100000000</v>
      </c>
      <c r="F25" s="246">
        <v>100000000</v>
      </c>
      <c r="G25" s="840">
        <v>200000000</v>
      </c>
      <c r="H25" s="246">
        <f t="shared" si="0"/>
        <v>100000000</v>
      </c>
    </row>
    <row r="26" spans="1:8" ht="24" customHeight="1">
      <c r="A26" s="392">
        <v>22169</v>
      </c>
      <c r="B26" s="246" t="s">
        <v>1205</v>
      </c>
      <c r="C26" s="246"/>
      <c r="D26" s="246"/>
      <c r="E26" s="246"/>
      <c r="F26" s="246">
        <v>350000000</v>
      </c>
      <c r="G26" s="840">
        <v>350000000</v>
      </c>
      <c r="H26" s="246">
        <f t="shared" si="0"/>
        <v>0</v>
      </c>
    </row>
    <row r="27" spans="1:8" ht="24" customHeight="1">
      <c r="A27" s="476">
        <v>0</v>
      </c>
      <c r="B27" s="280" t="s">
        <v>92</v>
      </c>
      <c r="C27" s="280">
        <v>0</v>
      </c>
      <c r="D27" s="280">
        <f>SUM(D12:D25)</f>
        <v>230619555</v>
      </c>
      <c r="E27" s="280">
        <f>SUM(E12:E26)</f>
        <v>389019555</v>
      </c>
      <c r="F27" s="280">
        <f>SUM(F12:F26)</f>
        <v>739019555</v>
      </c>
      <c r="G27" s="851">
        <f>SUM(G12:G26)</f>
        <v>1089019555</v>
      </c>
      <c r="H27" s="280">
        <f t="shared" si="0"/>
        <v>350000000</v>
      </c>
    </row>
    <row r="28" spans="1:8" ht="24" customHeight="1">
      <c r="A28" s="476">
        <v>2220</v>
      </c>
      <c r="B28" s="280" t="s">
        <v>240</v>
      </c>
      <c r="C28" s="246"/>
      <c r="D28" s="246"/>
      <c r="E28" s="246"/>
      <c r="F28" s="246"/>
      <c r="G28" s="840"/>
      <c r="H28" s="246">
        <f t="shared" si="0"/>
        <v>0</v>
      </c>
    </row>
    <row r="29" spans="1:8" ht="24" customHeight="1">
      <c r="A29" s="392">
        <v>22201</v>
      </c>
      <c r="B29" s="246" t="s">
        <v>132</v>
      </c>
      <c r="C29" s="246">
        <v>0</v>
      </c>
      <c r="D29" s="246">
        <v>0</v>
      </c>
      <c r="E29" s="246">
        <v>0</v>
      </c>
      <c r="F29" s="246">
        <v>0</v>
      </c>
      <c r="G29" s="840">
        <v>0</v>
      </c>
      <c r="H29" s="246">
        <f t="shared" si="0"/>
        <v>0</v>
      </c>
    </row>
    <row r="30" spans="1:8" ht="24" customHeight="1">
      <c r="A30" s="392">
        <v>22202</v>
      </c>
      <c r="B30" s="246" t="s">
        <v>133</v>
      </c>
      <c r="C30" s="246">
        <v>0</v>
      </c>
      <c r="D30" s="246">
        <v>200968000</v>
      </c>
      <c r="E30" s="246">
        <v>200968000</v>
      </c>
      <c r="F30" s="246">
        <v>200968000</v>
      </c>
      <c r="G30" s="840">
        <v>200968000</v>
      </c>
      <c r="H30" s="246">
        <f t="shared" si="0"/>
        <v>0</v>
      </c>
    </row>
    <row r="31" spans="1:8" ht="24" customHeight="1">
      <c r="A31" s="392">
        <v>22203</v>
      </c>
      <c r="B31" s="246" t="s">
        <v>127</v>
      </c>
      <c r="C31" s="246">
        <v>0</v>
      </c>
      <c r="D31" s="246">
        <v>14820400</v>
      </c>
      <c r="E31" s="246">
        <v>14820400</v>
      </c>
      <c r="F31" s="246">
        <v>34820400</v>
      </c>
      <c r="G31" s="840">
        <v>34820400</v>
      </c>
      <c r="H31" s="246">
        <f t="shared" si="0"/>
        <v>0</v>
      </c>
    </row>
    <row r="32" spans="1:8" ht="24" customHeight="1">
      <c r="A32" s="392">
        <v>22204</v>
      </c>
      <c r="B32" s="246" t="s">
        <v>128</v>
      </c>
      <c r="C32" s="246">
        <v>0</v>
      </c>
      <c r="D32" s="246">
        <f>7667915*70%</f>
        <v>5367540.5</v>
      </c>
      <c r="E32" s="246">
        <f>7667915*70%</f>
        <v>5367540.5</v>
      </c>
      <c r="F32" s="246">
        <f>7667915*70%</f>
        <v>5367540.5</v>
      </c>
      <c r="G32" s="840">
        <f>7667915*70%</f>
        <v>5367540.5</v>
      </c>
      <c r="H32" s="246">
        <f t="shared" si="0"/>
        <v>0</v>
      </c>
    </row>
    <row r="33" spans="1:8" ht="24" customHeight="1">
      <c r="A33" s="392">
        <v>22208</v>
      </c>
      <c r="B33" s="246" t="s">
        <v>289</v>
      </c>
      <c r="C33" s="246">
        <v>0</v>
      </c>
      <c r="D33" s="246">
        <v>0</v>
      </c>
      <c r="E33" s="246">
        <v>0</v>
      </c>
      <c r="F33" s="246">
        <v>0</v>
      </c>
      <c r="G33" s="840">
        <v>0</v>
      </c>
      <c r="H33" s="246">
        <f t="shared" si="0"/>
        <v>0</v>
      </c>
    </row>
    <row r="34" spans="1:8" ht="24" customHeight="1">
      <c r="A34" s="392"/>
      <c r="B34" s="280" t="s">
        <v>92</v>
      </c>
      <c r="C34" s="280">
        <v>0</v>
      </c>
      <c r="D34" s="280">
        <f>SUM(D29:D33)</f>
        <v>221155940.5</v>
      </c>
      <c r="E34" s="280">
        <f>SUM(E29:E33)</f>
        <v>221155940.5</v>
      </c>
      <c r="F34" s="280">
        <f>SUM(F29:F33)</f>
        <v>241155940.5</v>
      </c>
      <c r="G34" s="851">
        <f>SUM(G29:G33)</f>
        <v>241155940.5</v>
      </c>
      <c r="H34" s="280">
        <f t="shared" si="0"/>
        <v>0</v>
      </c>
    </row>
    <row r="35" spans="1:8" ht="24" customHeight="1">
      <c r="A35" s="476">
        <v>2230</v>
      </c>
      <c r="B35" s="280" t="s">
        <v>130</v>
      </c>
      <c r="C35" s="246"/>
      <c r="D35" s="246"/>
      <c r="E35" s="246">
        <v>0</v>
      </c>
      <c r="F35" s="246">
        <v>0</v>
      </c>
      <c r="G35" s="840">
        <v>0</v>
      </c>
      <c r="H35" s="246">
        <f t="shared" si="0"/>
        <v>0</v>
      </c>
    </row>
    <row r="36" spans="1:8" ht="24" customHeight="1">
      <c r="A36" s="392">
        <v>22301</v>
      </c>
      <c r="B36" s="246" t="s">
        <v>49</v>
      </c>
      <c r="C36" s="246">
        <v>0</v>
      </c>
      <c r="D36" s="246">
        <v>27854400</v>
      </c>
      <c r="E36" s="246">
        <v>27854400</v>
      </c>
      <c r="F36" s="246">
        <v>27854400</v>
      </c>
      <c r="G36" s="840">
        <v>27854400</v>
      </c>
      <c r="H36" s="246">
        <f t="shared" si="0"/>
        <v>0</v>
      </c>
    </row>
    <row r="37" spans="1:8" ht="24" customHeight="1">
      <c r="A37" s="392">
        <v>22302</v>
      </c>
      <c r="B37" s="246" t="s">
        <v>249</v>
      </c>
      <c r="C37" s="246">
        <v>0</v>
      </c>
      <c r="D37" s="246">
        <v>0</v>
      </c>
      <c r="E37" s="246">
        <v>0</v>
      </c>
      <c r="F37" s="246">
        <v>0</v>
      </c>
      <c r="G37" s="840">
        <v>0</v>
      </c>
      <c r="H37" s="246">
        <f t="shared" si="0"/>
        <v>0</v>
      </c>
    </row>
    <row r="38" spans="1:8" s="837" customFormat="1" ht="24" customHeight="1">
      <c r="A38" s="910">
        <v>22303</v>
      </c>
      <c r="B38" s="840" t="s">
        <v>311</v>
      </c>
      <c r="C38" s="840">
        <v>0</v>
      </c>
      <c r="D38" s="840">
        <v>1032000000</v>
      </c>
      <c r="E38" s="840">
        <v>1032000000</v>
      </c>
      <c r="F38" s="840">
        <v>1300000000</v>
      </c>
      <c r="G38" s="840">
        <v>2300000000</v>
      </c>
      <c r="H38" s="840">
        <f t="shared" si="0"/>
        <v>1000000000</v>
      </c>
    </row>
    <row r="39" spans="1:8" s="837" customFormat="1" ht="24" customHeight="1">
      <c r="A39" s="910">
        <v>22304</v>
      </c>
      <c r="B39" s="840" t="s">
        <v>148</v>
      </c>
      <c r="C39" s="840">
        <v>0</v>
      </c>
      <c r="D39" s="840">
        <v>0</v>
      </c>
      <c r="E39" s="840">
        <v>0</v>
      </c>
      <c r="F39" s="840">
        <v>0</v>
      </c>
      <c r="G39" s="840">
        <v>0</v>
      </c>
      <c r="H39" s="840">
        <f t="shared" si="0"/>
        <v>0</v>
      </c>
    </row>
    <row r="40" spans="1:8" ht="24" customHeight="1">
      <c r="A40" s="392">
        <v>22307</v>
      </c>
      <c r="B40" s="246" t="s">
        <v>149</v>
      </c>
      <c r="C40" s="246">
        <v>0</v>
      </c>
      <c r="D40" s="246">
        <v>0</v>
      </c>
      <c r="E40" s="246">
        <v>0</v>
      </c>
      <c r="F40" s="246">
        <v>0</v>
      </c>
      <c r="G40" s="840">
        <v>0</v>
      </c>
      <c r="H40" s="246">
        <f t="shared" si="0"/>
        <v>0</v>
      </c>
    </row>
    <row r="41" spans="1:8" ht="24" customHeight="1">
      <c r="A41" s="392">
        <v>22313</v>
      </c>
      <c r="B41" s="246" t="s">
        <v>251</v>
      </c>
      <c r="C41" s="246">
        <v>0</v>
      </c>
      <c r="D41" s="246">
        <f>1489600*70%</f>
        <v>1042719.9999999999</v>
      </c>
      <c r="E41" s="246">
        <f>1489600*70%</f>
        <v>1042719.9999999999</v>
      </c>
      <c r="F41" s="246">
        <f>1489600*70%</f>
        <v>1042719.9999999999</v>
      </c>
      <c r="G41" s="840">
        <f>1489600*70%</f>
        <v>1042719.9999999999</v>
      </c>
      <c r="H41" s="246">
        <f t="shared" si="0"/>
        <v>0</v>
      </c>
    </row>
    <row r="42" spans="1:8" ht="24" customHeight="1">
      <c r="A42" s="476"/>
      <c r="B42" s="280" t="s">
        <v>92</v>
      </c>
      <c r="C42" s="279">
        <v>0</v>
      </c>
      <c r="D42" s="279">
        <f>SUM(D36:D41)</f>
        <v>1060897120</v>
      </c>
      <c r="E42" s="279">
        <f>SUM(E36:E41)</f>
        <v>1060897120</v>
      </c>
      <c r="F42" s="279">
        <f>SUM(F36:F41)</f>
        <v>1328897120</v>
      </c>
      <c r="G42" s="850">
        <f>SUM(G36:G41)</f>
        <v>2328897120</v>
      </c>
      <c r="H42" s="280">
        <f t="shared" si="0"/>
        <v>1000000000</v>
      </c>
    </row>
    <row r="43" spans="1:8" ht="24" customHeight="1">
      <c r="A43" s="476">
        <v>270</v>
      </c>
      <c r="B43" s="280" t="s">
        <v>253</v>
      </c>
      <c r="C43" s="292"/>
      <c r="D43" s="292"/>
      <c r="E43" s="292"/>
      <c r="F43" s="292"/>
      <c r="G43" s="867"/>
      <c r="H43" s="246">
        <f t="shared" si="0"/>
        <v>0</v>
      </c>
    </row>
    <row r="44" spans="1:8" ht="24" customHeight="1">
      <c r="A44" s="476">
        <v>2710</v>
      </c>
      <c r="B44" s="280" t="s">
        <v>252</v>
      </c>
      <c r="C44" s="292"/>
      <c r="D44" s="292"/>
      <c r="E44" s="292"/>
      <c r="F44" s="292"/>
      <c r="G44" s="867"/>
      <c r="H44" s="246">
        <f t="shared" si="0"/>
        <v>0</v>
      </c>
    </row>
    <row r="45" spans="1:8" ht="24" customHeight="1">
      <c r="A45" s="392">
        <v>27402</v>
      </c>
      <c r="B45" s="246" t="s">
        <v>287</v>
      </c>
      <c r="C45" s="246">
        <v>0</v>
      </c>
      <c r="D45" s="246">
        <v>240000000</v>
      </c>
      <c r="E45" s="246">
        <v>0</v>
      </c>
      <c r="F45" s="246">
        <v>0</v>
      </c>
      <c r="G45" s="840">
        <v>0</v>
      </c>
      <c r="H45" s="246">
        <f t="shared" si="0"/>
        <v>0</v>
      </c>
    </row>
    <row r="46" spans="1:8" ht="24" customHeight="1">
      <c r="A46" s="392">
        <v>27502</v>
      </c>
      <c r="B46" s="246" t="s">
        <v>148</v>
      </c>
      <c r="C46" s="246">
        <v>0</v>
      </c>
      <c r="D46" s="246">
        <v>0</v>
      </c>
      <c r="E46" s="246">
        <v>0</v>
      </c>
      <c r="F46" s="246">
        <v>0</v>
      </c>
      <c r="G46" s="840">
        <v>0</v>
      </c>
      <c r="H46" s="246">
        <f t="shared" si="0"/>
        <v>0</v>
      </c>
    </row>
    <row r="47" spans="1:8" ht="24" customHeight="1">
      <c r="A47" s="392"/>
      <c r="B47" s="280" t="s">
        <v>92</v>
      </c>
      <c r="C47" s="279">
        <v>0</v>
      </c>
      <c r="D47" s="279">
        <f>SUM(D45:D46)</f>
        <v>240000000</v>
      </c>
      <c r="E47" s="279">
        <f>SUM(E45:E46)</f>
        <v>0</v>
      </c>
      <c r="F47" s="279">
        <f>SUM(F45:F46)</f>
        <v>0</v>
      </c>
      <c r="G47" s="850">
        <f>SUM(G45:G46)</f>
        <v>0</v>
      </c>
      <c r="H47" s="246">
        <f t="shared" si="0"/>
        <v>0</v>
      </c>
    </row>
    <row r="48" spans="1:8" ht="24" customHeight="1">
      <c r="A48" s="476">
        <v>2720</v>
      </c>
      <c r="B48" s="280" t="s">
        <v>469</v>
      </c>
      <c r="C48" s="279"/>
      <c r="D48" s="279"/>
      <c r="E48" s="279"/>
      <c r="F48" s="279"/>
      <c r="G48" s="850"/>
      <c r="H48" s="246">
        <f t="shared" si="0"/>
        <v>0</v>
      </c>
    </row>
    <row r="49" spans="1:8" ht="24" customHeight="1">
      <c r="A49" s="392">
        <v>27202</v>
      </c>
      <c r="B49" s="246" t="s">
        <v>1070</v>
      </c>
      <c r="C49" s="279"/>
      <c r="D49" s="279"/>
      <c r="E49" s="274">
        <v>1400000000</v>
      </c>
      <c r="F49" s="274">
        <v>1000000000</v>
      </c>
      <c r="G49" s="853">
        <v>0</v>
      </c>
      <c r="H49" s="246">
        <f t="shared" si="0"/>
        <v>-1000000000</v>
      </c>
    </row>
    <row r="50" spans="1:8" ht="24" customHeight="1">
      <c r="A50" s="392">
        <v>27208</v>
      </c>
      <c r="B50" s="246" t="s">
        <v>1273</v>
      </c>
      <c r="C50" s="279"/>
      <c r="D50" s="279"/>
      <c r="E50" s="274"/>
      <c r="F50" s="274">
        <v>9000000000</v>
      </c>
      <c r="G50" s="853">
        <v>6000000000</v>
      </c>
      <c r="H50" s="246">
        <f t="shared" si="0"/>
        <v>-3000000000</v>
      </c>
    </row>
    <row r="51" spans="1:8" ht="24" customHeight="1">
      <c r="A51" s="392"/>
      <c r="B51" s="280" t="s">
        <v>92</v>
      </c>
      <c r="C51" s="279"/>
      <c r="D51" s="279"/>
      <c r="E51" s="279">
        <f>SUM(E49)</f>
        <v>1400000000</v>
      </c>
      <c r="F51" s="279">
        <f>SUM(F49:F50)</f>
        <v>10000000000</v>
      </c>
      <c r="G51" s="850">
        <f>SUM(G49:G50)</f>
        <v>6000000000</v>
      </c>
      <c r="H51" s="280">
        <f t="shared" si="0"/>
        <v>-4000000000</v>
      </c>
    </row>
    <row r="52" spans="1:8" ht="24" customHeight="1">
      <c r="A52" s="476">
        <v>2810</v>
      </c>
      <c r="B52" s="280" t="s">
        <v>1243</v>
      </c>
      <c r="C52" s="279"/>
      <c r="D52" s="279"/>
      <c r="E52" s="279"/>
      <c r="F52" s="279"/>
      <c r="G52" s="850"/>
      <c r="H52" s="246">
        <f t="shared" si="0"/>
        <v>0</v>
      </c>
    </row>
    <row r="53" spans="1:8" ht="24" customHeight="1">
      <c r="A53" s="392">
        <v>28102</v>
      </c>
      <c r="B53" s="246" t="s">
        <v>1090</v>
      </c>
      <c r="C53" s="246"/>
      <c r="D53" s="246">
        <v>0</v>
      </c>
      <c r="E53" s="246">
        <v>158400000</v>
      </c>
      <c r="F53" s="246">
        <v>0</v>
      </c>
      <c r="G53" s="840">
        <v>0</v>
      </c>
      <c r="H53" s="246">
        <f t="shared" si="0"/>
        <v>0</v>
      </c>
    </row>
    <row r="54" spans="1:8" ht="24" customHeight="1">
      <c r="A54" s="392"/>
      <c r="B54" s="246" t="s">
        <v>1252</v>
      </c>
      <c r="C54" s="246"/>
      <c r="D54" s="246"/>
      <c r="E54" s="280">
        <f>SUM(E53)</f>
        <v>158400000</v>
      </c>
      <c r="F54" s="280">
        <f>SUM(F53)</f>
        <v>0</v>
      </c>
      <c r="G54" s="851">
        <f>SUM(G53)</f>
        <v>0</v>
      </c>
      <c r="H54" s="246">
        <f t="shared" si="0"/>
        <v>0</v>
      </c>
    </row>
    <row r="55" spans="1:8" ht="24" customHeight="1">
      <c r="A55" s="392"/>
      <c r="B55" s="280" t="s">
        <v>37</v>
      </c>
      <c r="C55" s="279">
        <v>0</v>
      </c>
      <c r="D55" s="279">
        <f>D47+D42+D34+D27+D9</f>
        <v>3112288935.5</v>
      </c>
      <c r="E55" s="279">
        <f>E54+E51+E42+E47+E34+E27+E9</f>
        <v>4740375335.5</v>
      </c>
      <c r="F55" s="279">
        <f>F54+F51+F42+F47+F34+F27+F9</f>
        <v>14160685095.5</v>
      </c>
      <c r="G55" s="279">
        <f>G54+G51+G42+G47+G34+G27+G9</f>
        <v>11882415623.5</v>
      </c>
      <c r="H55" s="280">
        <f t="shared" si="0"/>
        <v>-2278269472</v>
      </c>
    </row>
  </sheetData>
  <pageMargins left="0.7" right="0.7" top="0.75" bottom="0.75" header="0.3" footer="0.3"/>
  <pageSetup scale="50" orientation="portrait" verticalDpi="300" r:id="rId1"/>
  <headerFooter>
    <oddHeader>&amp;C&amp;"Algerian,Bold"&amp;36WASAARADDA BIYAHA</oddHeader>
    <oddFooter>&amp;R&amp;"Times New Roman,Bold"&amp;18 61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topLeftCell="A29" zoomScale="60" zoomScaleNormal="100" workbookViewId="0">
      <selection activeCell="I48" sqref="I48"/>
    </sheetView>
  </sheetViews>
  <sheetFormatPr defaultRowHeight="29.1" customHeight="1"/>
  <cols>
    <col min="1" max="1" width="20.33203125" style="644" customWidth="1"/>
    <col min="2" max="2" width="84.6640625" style="656" customWidth="1"/>
    <col min="3" max="3" width="21.33203125" style="399" hidden="1" customWidth="1"/>
    <col min="4" max="4" width="22.5" style="399" hidden="1" customWidth="1"/>
    <col min="5" max="7" width="27.6640625" style="498" hidden="1" customWidth="1"/>
    <col min="8" max="10" width="27.6640625" style="498" customWidth="1"/>
    <col min="11" max="11" width="9.33203125" style="399"/>
    <col min="12" max="12" width="16.5" style="399" customWidth="1"/>
    <col min="13" max="16384" width="9.33203125" style="399"/>
  </cols>
  <sheetData>
    <row r="1" spans="1:10" ht="29.1" customHeight="1">
      <c r="A1" s="608" t="s">
        <v>40</v>
      </c>
      <c r="B1" s="545" t="s">
        <v>1395</v>
      </c>
      <c r="C1" s="545"/>
      <c r="D1" s="545"/>
      <c r="E1" s="303"/>
      <c r="F1" s="303"/>
      <c r="G1" s="303"/>
      <c r="H1" s="303"/>
      <c r="I1" s="303"/>
      <c r="J1" s="303"/>
    </row>
    <row r="2" spans="1:10" ht="29.1" customHeight="1">
      <c r="A2" s="608" t="s">
        <v>25</v>
      </c>
      <c r="B2" s="545" t="s">
        <v>26</v>
      </c>
      <c r="C2" s="545" t="s">
        <v>151</v>
      </c>
      <c r="D2" s="545" t="s">
        <v>257</v>
      </c>
      <c r="E2" s="303" t="s">
        <v>814</v>
      </c>
      <c r="F2" s="303" t="s">
        <v>874</v>
      </c>
      <c r="G2" s="303" t="s">
        <v>973</v>
      </c>
      <c r="H2" s="303" t="s">
        <v>1160</v>
      </c>
      <c r="I2" s="303" t="s">
        <v>1320</v>
      </c>
      <c r="J2" s="303" t="s">
        <v>56</v>
      </c>
    </row>
    <row r="3" spans="1:10" ht="29.1" customHeight="1">
      <c r="A3" s="476">
        <v>210</v>
      </c>
      <c r="B3" s="280" t="s">
        <v>137</v>
      </c>
      <c r="C3" s="545"/>
      <c r="D3" s="545"/>
      <c r="E3" s="303"/>
      <c r="F3" s="303"/>
      <c r="G3" s="303"/>
      <c r="H3" s="303"/>
      <c r="I3" s="303"/>
      <c r="J3" s="303"/>
    </row>
    <row r="4" spans="1:10" ht="29.1" customHeight="1">
      <c r="A4" s="476">
        <v>2110</v>
      </c>
      <c r="B4" s="280" t="s">
        <v>213</v>
      </c>
      <c r="C4" s="402"/>
      <c r="D4" s="402"/>
      <c r="E4" s="302"/>
      <c r="F4" s="302"/>
      <c r="G4" s="302"/>
      <c r="H4" s="302"/>
      <c r="I4" s="302"/>
      <c r="J4" s="302"/>
    </row>
    <row r="5" spans="1:10" ht="29.1" customHeight="1">
      <c r="A5" s="392">
        <v>21101</v>
      </c>
      <c r="B5" s="246" t="s">
        <v>28</v>
      </c>
      <c r="C5" s="402">
        <v>0</v>
      </c>
      <c r="D5" s="402">
        <v>539292000</v>
      </c>
      <c r="E5" s="302">
        <v>540103200</v>
      </c>
      <c r="F5" s="302">
        <v>633672000</v>
      </c>
      <c r="G5" s="302">
        <v>715890240</v>
      </c>
      <c r="H5" s="302"/>
      <c r="I5" s="302">
        <v>755726400</v>
      </c>
      <c r="J5" s="302">
        <f>I5-H5</f>
        <v>755726400</v>
      </c>
    </row>
    <row r="6" spans="1:10" ht="29.1" customHeight="1">
      <c r="A6" s="392">
        <v>21102</v>
      </c>
      <c r="B6" s="246" t="s">
        <v>611</v>
      </c>
      <c r="C6" s="402">
        <v>0</v>
      </c>
      <c r="D6" s="402">
        <v>22500000</v>
      </c>
      <c r="E6" s="302">
        <v>54000000</v>
      </c>
      <c r="F6" s="302">
        <v>114000000</v>
      </c>
      <c r="G6" s="302">
        <v>114000000</v>
      </c>
      <c r="H6" s="302"/>
      <c r="I6" s="302">
        <v>194400000</v>
      </c>
      <c r="J6" s="302">
        <f t="shared" ref="J6:J47" si="0">I6-H6</f>
        <v>194400000</v>
      </c>
    </row>
    <row r="7" spans="1:10" ht="29.1" customHeight="1">
      <c r="A7" s="392">
        <v>21103</v>
      </c>
      <c r="B7" s="246" t="s">
        <v>30</v>
      </c>
      <c r="C7" s="302">
        <f>SUM(C5:C6)</f>
        <v>0</v>
      </c>
      <c r="D7" s="302">
        <v>86400000</v>
      </c>
      <c r="E7" s="302">
        <v>104400000</v>
      </c>
      <c r="F7" s="302">
        <v>198000000</v>
      </c>
      <c r="G7" s="302">
        <v>198000000</v>
      </c>
      <c r="H7" s="302"/>
      <c r="I7" s="302">
        <v>306000000</v>
      </c>
      <c r="J7" s="302">
        <f t="shared" si="0"/>
        <v>306000000</v>
      </c>
    </row>
    <row r="8" spans="1:10" ht="29.1" customHeight="1">
      <c r="A8" s="392"/>
      <c r="B8" s="280" t="s">
        <v>92</v>
      </c>
      <c r="C8" s="302" t="e">
        <f>SUM(#REF!)</f>
        <v>#REF!</v>
      </c>
      <c r="D8" s="303">
        <f>SUM(D5:D7)</f>
        <v>648192000</v>
      </c>
      <c r="E8" s="303">
        <f>SUM(E5:E7)</f>
        <v>698503200</v>
      </c>
      <c r="F8" s="303">
        <f>SUM(F5:F7)</f>
        <v>945672000</v>
      </c>
      <c r="G8" s="303">
        <f>SUM(G5:G7)</f>
        <v>1027890240</v>
      </c>
      <c r="H8" s="303"/>
      <c r="I8" s="303">
        <f>SUM(I5:I7)</f>
        <v>1256126400</v>
      </c>
      <c r="J8" s="303">
        <f t="shared" si="0"/>
        <v>1256126400</v>
      </c>
    </row>
    <row r="9" spans="1:10" ht="29.1" customHeight="1">
      <c r="A9" s="476">
        <v>220</v>
      </c>
      <c r="B9" s="280" t="s">
        <v>225</v>
      </c>
      <c r="C9" s="302"/>
      <c r="D9" s="302"/>
      <c r="E9" s="302"/>
      <c r="F9" s="302"/>
      <c r="G9" s="302"/>
      <c r="H9" s="302"/>
      <c r="I9" s="302"/>
      <c r="J9" s="302">
        <f t="shared" si="0"/>
        <v>0</v>
      </c>
    </row>
    <row r="10" spans="1:10" ht="29.1" customHeight="1">
      <c r="A10" s="476">
        <v>2210</v>
      </c>
      <c r="B10" s="280" t="s">
        <v>226</v>
      </c>
      <c r="C10" s="302"/>
      <c r="D10" s="302"/>
      <c r="E10" s="302"/>
      <c r="F10" s="302"/>
      <c r="G10" s="302"/>
      <c r="H10" s="302"/>
      <c r="I10" s="302"/>
      <c r="J10" s="302">
        <f t="shared" si="0"/>
        <v>0</v>
      </c>
    </row>
    <row r="11" spans="1:10" ht="29.1" customHeight="1">
      <c r="A11" s="392">
        <v>22101</v>
      </c>
      <c r="B11" s="246" t="s">
        <v>33</v>
      </c>
      <c r="C11" s="302">
        <v>0</v>
      </c>
      <c r="D11" s="302">
        <v>15000000</v>
      </c>
      <c r="E11" s="302">
        <v>35000000</v>
      </c>
      <c r="F11" s="302">
        <v>65000000</v>
      </c>
      <c r="G11" s="302">
        <v>65000000</v>
      </c>
      <c r="H11" s="302"/>
      <c r="I11" s="861">
        <v>100000000</v>
      </c>
      <c r="J11" s="302">
        <f t="shared" si="0"/>
        <v>100000000</v>
      </c>
    </row>
    <row r="12" spans="1:10" ht="29.1" customHeight="1">
      <c r="A12" s="392">
        <v>22102</v>
      </c>
      <c r="B12" s="246" t="s">
        <v>337</v>
      </c>
      <c r="C12" s="302"/>
      <c r="D12" s="302">
        <v>10000000</v>
      </c>
      <c r="E12" s="302">
        <v>10000000</v>
      </c>
      <c r="F12" s="302">
        <v>0</v>
      </c>
      <c r="G12" s="302">
        <v>0</v>
      </c>
      <c r="H12" s="302"/>
      <c r="I12" s="861">
        <v>0</v>
      </c>
      <c r="J12" s="302">
        <f t="shared" si="0"/>
        <v>0</v>
      </c>
    </row>
    <row r="13" spans="1:10" ht="29.1" customHeight="1">
      <c r="A13" s="392">
        <v>22104</v>
      </c>
      <c r="B13" s="246" t="s">
        <v>157</v>
      </c>
      <c r="C13" s="302">
        <v>0</v>
      </c>
      <c r="D13" s="302">
        <f>20000000*70%</f>
        <v>14000000</v>
      </c>
      <c r="E13" s="302">
        <f>20000000*70%</f>
        <v>14000000</v>
      </c>
      <c r="F13" s="302">
        <f>20000000*70%</f>
        <v>14000000</v>
      </c>
      <c r="G13" s="302">
        <f>20000000*70%</f>
        <v>14000000</v>
      </c>
      <c r="H13" s="302"/>
      <c r="I13" s="861">
        <v>40000000</v>
      </c>
      <c r="J13" s="302">
        <f t="shared" si="0"/>
        <v>40000000</v>
      </c>
    </row>
    <row r="14" spans="1:10" ht="29.1" customHeight="1">
      <c r="A14" s="392">
        <v>22105</v>
      </c>
      <c r="B14" s="246" t="s">
        <v>341</v>
      </c>
      <c r="C14" s="302">
        <v>0</v>
      </c>
      <c r="D14" s="302">
        <f t="shared" ref="D14:G14" si="1">57600000*70%</f>
        <v>40320000</v>
      </c>
      <c r="E14" s="302">
        <f t="shared" si="1"/>
        <v>40320000</v>
      </c>
      <c r="F14" s="302">
        <f t="shared" si="1"/>
        <v>40320000</v>
      </c>
      <c r="G14" s="302">
        <f t="shared" si="1"/>
        <v>40320000</v>
      </c>
      <c r="H14" s="302"/>
      <c r="I14" s="861">
        <v>108000000</v>
      </c>
      <c r="J14" s="302">
        <f t="shared" si="0"/>
        <v>108000000</v>
      </c>
    </row>
    <row r="15" spans="1:10" ht="29.1" customHeight="1">
      <c r="A15" s="392">
        <v>22106</v>
      </c>
      <c r="B15" s="246" t="s">
        <v>126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/>
      <c r="I15" s="861">
        <v>0</v>
      </c>
      <c r="J15" s="302">
        <f t="shared" si="0"/>
        <v>0</v>
      </c>
    </row>
    <row r="16" spans="1:10" ht="29.1" customHeight="1">
      <c r="A16" s="392">
        <v>22107</v>
      </c>
      <c r="B16" s="246" t="s">
        <v>342</v>
      </c>
      <c r="C16" s="302">
        <v>0</v>
      </c>
      <c r="D16" s="302">
        <v>3000000</v>
      </c>
      <c r="E16" s="302">
        <v>2100000</v>
      </c>
      <c r="F16" s="302">
        <f>E16</f>
        <v>2100000</v>
      </c>
      <c r="G16" s="302">
        <f>F16</f>
        <v>2100000</v>
      </c>
      <c r="H16" s="302"/>
      <c r="I16" s="861">
        <v>50000000</v>
      </c>
      <c r="J16" s="302">
        <f t="shared" si="0"/>
        <v>50000000</v>
      </c>
    </row>
    <row r="17" spans="1:10" ht="29.1" customHeight="1">
      <c r="A17" s="392">
        <v>22108</v>
      </c>
      <c r="B17" s="246" t="s">
        <v>547</v>
      </c>
      <c r="C17" s="302"/>
      <c r="D17" s="302"/>
      <c r="E17" s="302"/>
      <c r="F17" s="302"/>
      <c r="G17" s="302">
        <v>0</v>
      </c>
      <c r="H17" s="302"/>
      <c r="I17" s="861">
        <v>26465280</v>
      </c>
      <c r="J17" s="302">
        <f t="shared" si="0"/>
        <v>26465280</v>
      </c>
    </row>
    <row r="18" spans="1:10" ht="29.1" customHeight="1">
      <c r="A18" s="392">
        <v>22109</v>
      </c>
      <c r="B18" s="246" t="s">
        <v>136</v>
      </c>
      <c r="C18" s="303" t="e">
        <f>SUM(C8:C16)</f>
        <v>#REF!</v>
      </c>
      <c r="D18" s="302">
        <v>1000000</v>
      </c>
      <c r="E18" s="302">
        <v>1000000</v>
      </c>
      <c r="F18" s="302">
        <v>1000000</v>
      </c>
      <c r="G18" s="302">
        <v>1000000</v>
      </c>
      <c r="H18" s="302"/>
      <c r="I18" s="861">
        <v>20000000</v>
      </c>
      <c r="J18" s="302">
        <f t="shared" si="0"/>
        <v>20000000</v>
      </c>
    </row>
    <row r="19" spans="1:10" ht="29.1" customHeight="1">
      <c r="A19" s="392">
        <v>22112</v>
      </c>
      <c r="B19" s="246" t="s">
        <v>35</v>
      </c>
      <c r="C19" s="303"/>
      <c r="D19" s="302">
        <v>3000000</v>
      </c>
      <c r="E19" s="302">
        <v>13000000</v>
      </c>
      <c r="F19" s="302">
        <v>13000000</v>
      </c>
      <c r="G19" s="302">
        <v>13000000</v>
      </c>
      <c r="H19" s="302"/>
      <c r="I19" s="861">
        <v>40000000</v>
      </c>
      <c r="J19" s="302">
        <f t="shared" si="0"/>
        <v>40000000</v>
      </c>
    </row>
    <row r="20" spans="1:10" ht="29.1" customHeight="1">
      <c r="A20" s="392">
        <v>22119</v>
      </c>
      <c r="B20" s="246" t="s">
        <v>918</v>
      </c>
      <c r="C20" s="303"/>
      <c r="D20" s="302"/>
      <c r="E20" s="302"/>
      <c r="F20" s="302"/>
      <c r="G20" s="302"/>
      <c r="H20" s="302"/>
      <c r="I20" s="861">
        <v>190000000</v>
      </c>
      <c r="J20" s="302">
        <f t="shared" si="0"/>
        <v>190000000</v>
      </c>
    </row>
    <row r="21" spans="1:10" ht="29.1" customHeight="1">
      <c r="A21" s="392">
        <v>22132</v>
      </c>
      <c r="B21" s="246" t="s">
        <v>1425</v>
      </c>
      <c r="C21" s="303"/>
      <c r="D21" s="302"/>
      <c r="E21" s="302"/>
      <c r="F21" s="302"/>
      <c r="G21" s="302"/>
      <c r="H21" s="302"/>
      <c r="I21" s="861">
        <v>400000000</v>
      </c>
      <c r="J21" s="302">
        <f t="shared" si="0"/>
        <v>400000000</v>
      </c>
    </row>
    <row r="22" spans="1:10" ht="29.1" customHeight="1">
      <c r="A22" s="392">
        <v>22137</v>
      </c>
      <c r="B22" s="246" t="s">
        <v>546</v>
      </c>
      <c r="C22" s="302"/>
      <c r="D22" s="302"/>
      <c r="E22" s="302">
        <v>20000000</v>
      </c>
      <c r="F22" s="302">
        <v>20000000</v>
      </c>
      <c r="G22" s="302">
        <v>20000000</v>
      </c>
      <c r="H22" s="302"/>
      <c r="I22" s="861">
        <v>200000000</v>
      </c>
      <c r="J22" s="302">
        <f t="shared" si="0"/>
        <v>200000000</v>
      </c>
    </row>
    <row r="23" spans="1:10" ht="29.1" customHeight="1">
      <c r="A23" s="392"/>
      <c r="B23" s="280" t="s">
        <v>92</v>
      </c>
      <c r="C23" s="302">
        <v>0</v>
      </c>
      <c r="D23" s="303">
        <f>SUM(D11:D22)</f>
        <v>86320000</v>
      </c>
      <c r="E23" s="303">
        <f>SUM(E11:E22)</f>
        <v>135420000</v>
      </c>
      <c r="F23" s="303">
        <f>SUM(F11:F22)</f>
        <v>155420000</v>
      </c>
      <c r="G23" s="303">
        <f>SUM(G11:G22)</f>
        <v>155420000</v>
      </c>
      <c r="H23" s="303"/>
      <c r="I23" s="863">
        <f>SUM(I11:I22)</f>
        <v>1174465280</v>
      </c>
      <c r="J23" s="303">
        <f t="shared" si="0"/>
        <v>1174465280</v>
      </c>
    </row>
    <row r="24" spans="1:10" ht="29.1" customHeight="1">
      <c r="A24" s="476">
        <v>2220</v>
      </c>
      <c r="B24" s="280" t="s">
        <v>240</v>
      </c>
      <c r="C24" s="302">
        <v>0</v>
      </c>
      <c r="D24" s="303"/>
      <c r="E24" s="303"/>
      <c r="F24" s="303"/>
      <c r="G24" s="303"/>
      <c r="H24" s="303"/>
      <c r="I24" s="863"/>
      <c r="J24" s="302">
        <f t="shared" si="0"/>
        <v>0</v>
      </c>
    </row>
    <row r="25" spans="1:10" ht="29.1" customHeight="1">
      <c r="A25" s="392">
        <v>22201</v>
      </c>
      <c r="B25" s="246" t="s">
        <v>343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/>
      <c r="I25" s="861">
        <v>0</v>
      </c>
      <c r="J25" s="302">
        <f t="shared" si="0"/>
        <v>0</v>
      </c>
    </row>
    <row r="26" spans="1:10" ht="29.1" customHeight="1">
      <c r="A26" s="392">
        <v>22202</v>
      </c>
      <c r="B26" s="246" t="s">
        <v>133</v>
      </c>
      <c r="C26" s="302">
        <v>0</v>
      </c>
      <c r="D26" s="302">
        <f>121600000*70%</f>
        <v>85120000</v>
      </c>
      <c r="E26" s="302">
        <v>125120000</v>
      </c>
      <c r="F26" s="302">
        <v>185120000</v>
      </c>
      <c r="G26" s="302">
        <v>185120000</v>
      </c>
      <c r="H26" s="302"/>
      <c r="I26" s="861">
        <v>200000000</v>
      </c>
      <c r="J26" s="302">
        <f t="shared" si="0"/>
        <v>200000000</v>
      </c>
    </row>
    <row r="27" spans="1:10" ht="29.1" customHeight="1">
      <c r="A27" s="392">
        <v>22203</v>
      </c>
      <c r="B27" s="246" t="s">
        <v>127</v>
      </c>
      <c r="C27" s="303">
        <v>0</v>
      </c>
      <c r="D27" s="302">
        <f>15000000*70%</f>
        <v>10500000</v>
      </c>
      <c r="E27" s="302">
        <f>15000000*70%</f>
        <v>10500000</v>
      </c>
      <c r="F27" s="302">
        <f>15000000*70%</f>
        <v>10500000</v>
      </c>
      <c r="G27" s="302">
        <f>15000000*70%</f>
        <v>10500000</v>
      </c>
      <c r="H27" s="302"/>
      <c r="I27" s="861">
        <v>21000000</v>
      </c>
      <c r="J27" s="302">
        <f t="shared" si="0"/>
        <v>21000000</v>
      </c>
    </row>
    <row r="28" spans="1:10" ht="29.1" customHeight="1">
      <c r="A28" s="392">
        <v>22204</v>
      </c>
      <c r="B28" s="246" t="s">
        <v>128</v>
      </c>
      <c r="C28" s="303"/>
      <c r="D28" s="302">
        <v>3000000</v>
      </c>
      <c r="E28" s="302">
        <v>3000000</v>
      </c>
      <c r="F28" s="302">
        <v>3000000</v>
      </c>
      <c r="G28" s="302">
        <v>3000000</v>
      </c>
      <c r="H28" s="302"/>
      <c r="I28" s="861">
        <v>10000000</v>
      </c>
      <c r="J28" s="302">
        <f t="shared" si="0"/>
        <v>10000000</v>
      </c>
    </row>
    <row r="29" spans="1:10" ht="29.1" customHeight="1">
      <c r="A29" s="392">
        <v>22208</v>
      </c>
      <c r="B29" s="246" t="s">
        <v>336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/>
      <c r="I29" s="861">
        <v>0</v>
      </c>
      <c r="J29" s="302">
        <f t="shared" si="0"/>
        <v>0</v>
      </c>
    </row>
    <row r="30" spans="1:10" ht="29.1" customHeight="1">
      <c r="A30" s="392"/>
      <c r="B30" s="280" t="s">
        <v>92</v>
      </c>
      <c r="C30" s="302">
        <v>0</v>
      </c>
      <c r="D30" s="303">
        <f t="shared" ref="D30:I30" si="2">SUM(D25:D29)</f>
        <v>98620000</v>
      </c>
      <c r="E30" s="303">
        <f t="shared" si="2"/>
        <v>138620000</v>
      </c>
      <c r="F30" s="303">
        <f t="shared" si="2"/>
        <v>198620000</v>
      </c>
      <c r="G30" s="303">
        <f t="shared" si="2"/>
        <v>198620000</v>
      </c>
      <c r="H30" s="303"/>
      <c r="I30" s="863">
        <f t="shared" si="2"/>
        <v>231000000</v>
      </c>
      <c r="J30" s="303">
        <f t="shared" si="0"/>
        <v>231000000</v>
      </c>
    </row>
    <row r="31" spans="1:10" ht="29.1" customHeight="1">
      <c r="A31" s="476">
        <v>2230</v>
      </c>
      <c r="B31" s="280" t="s">
        <v>130</v>
      </c>
      <c r="C31" s="303"/>
      <c r="D31" s="303"/>
      <c r="E31" s="303"/>
      <c r="F31" s="303"/>
      <c r="G31" s="303"/>
      <c r="H31" s="303"/>
      <c r="I31" s="863"/>
      <c r="J31" s="302">
        <f t="shared" si="0"/>
        <v>0</v>
      </c>
    </row>
    <row r="32" spans="1:10" ht="29.1" customHeight="1">
      <c r="A32" s="392">
        <v>22301</v>
      </c>
      <c r="B32" s="246" t="s">
        <v>49</v>
      </c>
      <c r="C32" s="302">
        <v>0</v>
      </c>
      <c r="D32" s="302">
        <f>32400000*70%</f>
        <v>22680000</v>
      </c>
      <c r="E32" s="302">
        <f>32400000*70%</f>
        <v>22680000</v>
      </c>
      <c r="F32" s="302">
        <f>32400000*70%</f>
        <v>22680000</v>
      </c>
      <c r="G32" s="302">
        <v>32680000</v>
      </c>
      <c r="H32" s="302"/>
      <c r="I32" s="861">
        <v>50000000</v>
      </c>
      <c r="J32" s="302">
        <f t="shared" si="0"/>
        <v>50000000</v>
      </c>
    </row>
    <row r="33" spans="1:10" ht="29.1" customHeight="1">
      <c r="A33" s="392">
        <v>22302</v>
      </c>
      <c r="B33" s="246" t="s">
        <v>249</v>
      </c>
      <c r="C33" s="302">
        <v>0</v>
      </c>
      <c r="D33" s="302">
        <v>0</v>
      </c>
      <c r="E33" s="302">
        <v>0</v>
      </c>
      <c r="F33" s="302">
        <v>0</v>
      </c>
      <c r="G33" s="302">
        <v>0</v>
      </c>
      <c r="H33" s="302"/>
      <c r="I33" s="861">
        <v>0</v>
      </c>
      <c r="J33" s="302">
        <f t="shared" si="0"/>
        <v>0</v>
      </c>
    </row>
    <row r="34" spans="1:10" ht="29.1" customHeight="1">
      <c r="A34" s="392"/>
      <c r="B34" s="280" t="s">
        <v>92</v>
      </c>
      <c r="C34" s="302">
        <v>0</v>
      </c>
      <c r="D34" s="661">
        <f t="shared" ref="D34:I34" si="3">SUM(D32:D33)</f>
        <v>22680000</v>
      </c>
      <c r="E34" s="285">
        <f t="shared" si="3"/>
        <v>22680000</v>
      </c>
      <c r="F34" s="285">
        <f t="shared" si="3"/>
        <v>22680000</v>
      </c>
      <c r="G34" s="285">
        <f t="shared" si="3"/>
        <v>32680000</v>
      </c>
      <c r="H34" s="285"/>
      <c r="I34" s="849">
        <f t="shared" si="3"/>
        <v>50000000</v>
      </c>
      <c r="J34" s="303">
        <f t="shared" si="0"/>
        <v>50000000</v>
      </c>
    </row>
    <row r="35" spans="1:10" ht="29.1" customHeight="1">
      <c r="A35" s="476">
        <v>270</v>
      </c>
      <c r="B35" s="280" t="s">
        <v>253</v>
      </c>
      <c r="C35" s="302"/>
      <c r="D35" s="662"/>
      <c r="E35" s="302"/>
      <c r="F35" s="302"/>
      <c r="G35" s="302"/>
      <c r="H35" s="302"/>
      <c r="I35" s="861"/>
      <c r="J35" s="302">
        <f t="shared" si="0"/>
        <v>0</v>
      </c>
    </row>
    <row r="36" spans="1:10" ht="29.1" customHeight="1">
      <c r="A36" s="476">
        <v>2710</v>
      </c>
      <c r="B36" s="280" t="s">
        <v>252</v>
      </c>
      <c r="C36" s="302"/>
      <c r="D36" s="662"/>
      <c r="E36" s="302"/>
      <c r="F36" s="302"/>
      <c r="G36" s="302"/>
      <c r="H36" s="302"/>
      <c r="I36" s="861"/>
      <c r="J36" s="302">
        <f t="shared" si="0"/>
        <v>0</v>
      </c>
    </row>
    <row r="37" spans="1:10" ht="29.1" customHeight="1">
      <c r="A37" s="392">
        <v>27601</v>
      </c>
      <c r="B37" s="246" t="s">
        <v>264</v>
      </c>
      <c r="C37" s="292">
        <v>0</v>
      </c>
      <c r="D37" s="485">
        <f>54000000*70%</f>
        <v>37800000</v>
      </c>
      <c r="E37" s="249">
        <v>0</v>
      </c>
      <c r="F37" s="249">
        <v>0</v>
      </c>
      <c r="G37" s="249">
        <v>20000000</v>
      </c>
      <c r="H37" s="249"/>
      <c r="I37" s="848">
        <v>400000000</v>
      </c>
      <c r="J37" s="302">
        <f t="shared" si="0"/>
        <v>400000000</v>
      </c>
    </row>
    <row r="38" spans="1:10" ht="29.1" customHeight="1">
      <c r="A38" s="392">
        <v>27402</v>
      </c>
      <c r="B38" s="246" t="s">
        <v>265</v>
      </c>
      <c r="C38" s="292">
        <v>0</v>
      </c>
      <c r="D38" s="485">
        <f>216000000*70%</f>
        <v>151200000</v>
      </c>
      <c r="E38" s="249"/>
      <c r="F38" s="249">
        <v>140000000</v>
      </c>
      <c r="G38" s="249">
        <v>42000000</v>
      </c>
      <c r="H38" s="249"/>
      <c r="I38" s="848">
        <v>500000000</v>
      </c>
      <c r="J38" s="302">
        <f t="shared" si="0"/>
        <v>500000000</v>
      </c>
    </row>
    <row r="39" spans="1:10" ht="29.1" customHeight="1">
      <c r="A39" s="392">
        <v>27502</v>
      </c>
      <c r="B39" s="246" t="s">
        <v>148</v>
      </c>
      <c r="C39" s="302">
        <v>0</v>
      </c>
      <c r="D39" s="582">
        <f>10000000*70%</f>
        <v>7000000</v>
      </c>
      <c r="E39" s="249">
        <v>0</v>
      </c>
      <c r="F39" s="249">
        <v>0</v>
      </c>
      <c r="G39" s="249">
        <v>0</v>
      </c>
      <c r="H39" s="249"/>
      <c r="I39" s="848">
        <v>0</v>
      </c>
      <c r="J39" s="302">
        <f t="shared" si="0"/>
        <v>0</v>
      </c>
    </row>
    <row r="40" spans="1:10" ht="29.1" customHeight="1">
      <c r="A40" s="392">
        <v>27604</v>
      </c>
      <c r="B40" s="246" t="s">
        <v>149</v>
      </c>
      <c r="C40" s="302">
        <v>0</v>
      </c>
      <c r="D40" s="582">
        <f>5000000*70%</f>
        <v>3500000</v>
      </c>
      <c r="E40" s="249">
        <v>0</v>
      </c>
      <c r="F40" s="249">
        <v>0</v>
      </c>
      <c r="G40" s="249">
        <v>0</v>
      </c>
      <c r="H40" s="249"/>
      <c r="I40" s="848">
        <v>0</v>
      </c>
      <c r="J40" s="302">
        <f t="shared" si="0"/>
        <v>0</v>
      </c>
    </row>
    <row r="41" spans="1:10" ht="29.1" customHeight="1">
      <c r="A41" s="392"/>
      <c r="B41" s="280" t="s">
        <v>92</v>
      </c>
      <c r="C41" s="292">
        <f t="shared" ref="C41:F41" si="4">SUM(C37:C40)</f>
        <v>0</v>
      </c>
      <c r="D41" s="291">
        <f t="shared" si="4"/>
        <v>199500000</v>
      </c>
      <c r="E41" s="280">
        <f t="shared" si="4"/>
        <v>0</v>
      </c>
      <c r="F41" s="280">
        <f t="shared" si="4"/>
        <v>140000000</v>
      </c>
      <c r="G41" s="280">
        <f>SUM(G37:G40)</f>
        <v>62000000</v>
      </c>
      <c r="H41" s="280"/>
      <c r="I41" s="851">
        <f>SUM(I37:I40)</f>
        <v>900000000</v>
      </c>
      <c r="J41" s="303">
        <f t="shared" si="0"/>
        <v>900000000</v>
      </c>
    </row>
    <row r="42" spans="1:10" ht="29.1" customHeight="1">
      <c r="A42" s="476">
        <v>2720</v>
      </c>
      <c r="B42" s="280" t="s">
        <v>502</v>
      </c>
      <c r="C42" s="292"/>
      <c r="D42" s="291"/>
      <c r="E42" s="280"/>
      <c r="F42" s="280"/>
      <c r="G42" s="280"/>
      <c r="H42" s="280"/>
      <c r="I42" s="851"/>
      <c r="J42" s="302">
        <f t="shared" si="0"/>
        <v>0</v>
      </c>
    </row>
    <row r="43" spans="1:10" ht="29.1" customHeight="1">
      <c r="A43" s="392">
        <v>27202</v>
      </c>
      <c r="B43" s="246" t="s">
        <v>1396</v>
      </c>
      <c r="C43" s="292"/>
      <c r="D43" s="291"/>
      <c r="E43" s="280"/>
      <c r="F43" s="280"/>
      <c r="G43" s="280">
        <v>0</v>
      </c>
      <c r="H43" s="246"/>
      <c r="I43" s="840">
        <v>0</v>
      </c>
      <c r="J43" s="302">
        <f t="shared" si="0"/>
        <v>0</v>
      </c>
    </row>
    <row r="44" spans="1:10" ht="29.1" customHeight="1">
      <c r="A44" s="392"/>
      <c r="B44" s="280" t="s">
        <v>92</v>
      </c>
      <c r="C44" s="292"/>
      <c r="D44" s="291"/>
      <c r="E44" s="280"/>
      <c r="F44" s="280"/>
      <c r="G44" s="280">
        <f>SUM(G43)</f>
        <v>0</v>
      </c>
      <c r="H44" s="280"/>
      <c r="I44" s="851">
        <f>SUM(I43)</f>
        <v>0</v>
      </c>
      <c r="J44" s="303">
        <f t="shared" si="0"/>
        <v>0</v>
      </c>
    </row>
    <row r="45" spans="1:10" s="493" customFormat="1" ht="29.1" customHeight="1">
      <c r="A45" s="476">
        <v>2810</v>
      </c>
      <c r="B45" s="280" t="s">
        <v>1242</v>
      </c>
      <c r="C45" s="478"/>
      <c r="D45" s="291"/>
      <c r="E45" s="280"/>
      <c r="F45" s="280"/>
      <c r="G45" s="280"/>
      <c r="H45" s="280"/>
      <c r="I45" s="851"/>
      <c r="J45" s="302">
        <f t="shared" si="0"/>
        <v>0</v>
      </c>
    </row>
    <row r="46" spans="1:10" ht="29.1" customHeight="1">
      <c r="A46" s="392">
        <v>28102</v>
      </c>
      <c r="B46" s="246" t="s">
        <v>509</v>
      </c>
      <c r="C46" s="292"/>
      <c r="D46" s="291"/>
      <c r="E46" s="280"/>
      <c r="F46" s="280"/>
      <c r="G46" s="302">
        <v>117000000</v>
      </c>
      <c r="H46" s="302"/>
      <c r="I46" s="861">
        <v>0</v>
      </c>
      <c r="J46" s="302">
        <f t="shared" si="0"/>
        <v>0</v>
      </c>
    </row>
    <row r="47" spans="1:10" s="493" customFormat="1" ht="29.1" customHeight="1">
      <c r="A47" s="476"/>
      <c r="B47" s="280" t="s">
        <v>92</v>
      </c>
      <c r="C47" s="478"/>
      <c r="D47" s="291"/>
      <c r="E47" s="280"/>
      <c r="F47" s="280"/>
      <c r="G47" s="303">
        <f>SUM(G46)</f>
        <v>117000000</v>
      </c>
      <c r="H47" s="303"/>
      <c r="I47" s="863">
        <f>SUM(I46)</f>
        <v>0</v>
      </c>
      <c r="J47" s="303">
        <f t="shared" si="0"/>
        <v>0</v>
      </c>
    </row>
    <row r="48" spans="1:10" ht="29.1" customHeight="1">
      <c r="A48" s="392"/>
      <c r="B48" s="280" t="s">
        <v>37</v>
      </c>
      <c r="C48" s="478">
        <v>0</v>
      </c>
      <c r="D48" s="279">
        <f>D41+D34+D30+D23+D8</f>
        <v>1055312000</v>
      </c>
      <c r="E48" s="280">
        <f>E41+E34+E30+E23+E8</f>
        <v>995223200</v>
      </c>
      <c r="F48" s="280">
        <f>F41+F34+F30+F23+F8</f>
        <v>1462392000</v>
      </c>
      <c r="G48" s="280">
        <f>G41+G34+G30+G23+G8+G47+G44</f>
        <v>1593610240</v>
      </c>
      <c r="H48" s="280"/>
      <c r="I48" s="851">
        <f>I41+I34+I30+I23+I8+I47+I44</f>
        <v>3611591680</v>
      </c>
      <c r="J48" s="303">
        <f>I48-H48</f>
        <v>3611591680</v>
      </c>
    </row>
    <row r="49" spans="2:2" ht="29.1" customHeight="1">
      <c r="B49" s="532"/>
    </row>
    <row r="50" spans="2:2" ht="29.1" customHeight="1">
      <c r="B50" s="532"/>
    </row>
    <row r="51" spans="2:2" ht="29.1" customHeight="1">
      <c r="B51" s="532"/>
    </row>
    <row r="52" spans="2:2" ht="29.1" customHeight="1">
      <c r="B52" s="532"/>
    </row>
  </sheetData>
  <pageMargins left="0.7" right="0.7" top="0.75" bottom="0.75" header="0.3" footer="0.3"/>
  <pageSetup paperSize="9" scale="52" orientation="portrait" r:id="rId1"/>
  <headerFooter>
    <oddHeader>&amp;C&amp;"Algerian,Bold"&amp;36WASAARADDA DHAQANKA IYO DALXIISKA</oddHeader>
    <oddFooter>&amp;R62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view="pageBreakPreview" zoomScale="60" workbookViewId="0">
      <selection activeCell="L18" sqref="L18"/>
    </sheetView>
  </sheetViews>
  <sheetFormatPr defaultRowHeight="23.1" customHeight="1"/>
  <cols>
    <col min="1" max="1" width="11.83203125" style="359" bestFit="1" customWidth="1"/>
    <col min="2" max="2" width="98.83203125" style="359" bestFit="1" customWidth="1"/>
    <col min="3" max="6" width="14.6640625" style="359" bestFit="1" customWidth="1"/>
    <col min="7" max="7" width="16.83203125" style="359" bestFit="1" customWidth="1"/>
    <col min="8" max="8" width="35.5" style="359" bestFit="1" customWidth="1"/>
    <col min="9" max="10" width="9.33203125" style="359"/>
    <col min="11" max="14" width="34.33203125" style="359" bestFit="1" customWidth="1"/>
    <col min="15" max="16384" width="9.33203125" style="359"/>
  </cols>
  <sheetData>
    <row r="1" spans="1:11" ht="23.1" customHeight="1">
      <c r="A1" s="356" t="s">
        <v>961</v>
      </c>
      <c r="B1" s="357" t="s">
        <v>962</v>
      </c>
      <c r="C1" s="357" t="s">
        <v>51</v>
      </c>
      <c r="D1" s="357" t="s">
        <v>52</v>
      </c>
      <c r="E1" s="357" t="s">
        <v>53</v>
      </c>
      <c r="F1" s="357" t="s">
        <v>54</v>
      </c>
      <c r="G1" s="358" t="s">
        <v>544</v>
      </c>
      <c r="H1" s="358" t="s">
        <v>476</v>
      </c>
    </row>
    <row r="2" spans="1:11" ht="23.1" customHeight="1">
      <c r="A2" s="713" t="s">
        <v>1034</v>
      </c>
      <c r="B2" s="360" t="s">
        <v>91</v>
      </c>
      <c r="C2" s="358"/>
      <c r="D2" s="358"/>
      <c r="E2" s="358"/>
      <c r="F2" s="358"/>
      <c r="G2" s="358">
        <f>C2+D2+E2+F2</f>
        <v>0</v>
      </c>
      <c r="H2" s="358">
        <f>C2*1017120*12+D2*829920*12+E2*639600*12+F2*374400*12</f>
        <v>0</v>
      </c>
    </row>
    <row r="3" spans="1:11" ht="23.1" customHeight="1">
      <c r="A3" s="713" t="s">
        <v>1035</v>
      </c>
      <c r="B3" s="360" t="s">
        <v>90</v>
      </c>
      <c r="C3" s="357"/>
      <c r="D3" s="358"/>
      <c r="E3" s="358"/>
      <c r="F3" s="358"/>
      <c r="G3" s="358">
        <f t="shared" ref="G3:G64" si="0">C3+D3+E3+F3</f>
        <v>0</v>
      </c>
      <c r="H3" s="358">
        <f t="shared" ref="H3:H64" si="1">C3*1017120*12+D3*829920*12+E3*639600*12+F3*374400*12</f>
        <v>0</v>
      </c>
    </row>
    <row r="4" spans="1:11" ht="23.1" customHeight="1">
      <c r="A4" s="713" t="s">
        <v>1037</v>
      </c>
      <c r="B4" s="360" t="s">
        <v>203</v>
      </c>
      <c r="C4" s="361">
        <v>18</v>
      </c>
      <c r="D4" s="361">
        <v>5</v>
      </c>
      <c r="E4" s="361">
        <v>3</v>
      </c>
      <c r="F4" s="361">
        <v>13</v>
      </c>
      <c r="G4" s="358">
        <f t="shared" si="0"/>
        <v>39</v>
      </c>
      <c r="H4" s="358">
        <f t="shared" si="1"/>
        <v>350925120</v>
      </c>
    </row>
    <row r="5" spans="1:11" s="366" customFormat="1" ht="23.1" customHeight="1">
      <c r="A5" s="714" t="s">
        <v>1038</v>
      </c>
      <c r="B5" s="363" t="s">
        <v>88</v>
      </c>
      <c r="C5" s="364">
        <v>20</v>
      </c>
      <c r="D5" s="364">
        <v>16</v>
      </c>
      <c r="E5" s="364">
        <v>9</v>
      </c>
      <c r="F5" s="364">
        <v>15</v>
      </c>
      <c r="G5" s="358">
        <f t="shared" si="0"/>
        <v>60</v>
      </c>
      <c r="H5" s="358">
        <f t="shared" si="1"/>
        <v>539922240</v>
      </c>
    </row>
    <row r="6" spans="1:11" ht="23.1" customHeight="1">
      <c r="A6" s="713" t="s">
        <v>1036</v>
      </c>
      <c r="B6" s="360" t="s">
        <v>89</v>
      </c>
      <c r="C6" s="361">
        <v>53</v>
      </c>
      <c r="D6" s="361">
        <v>16</v>
      </c>
      <c r="E6" s="361">
        <v>10</v>
      </c>
      <c r="F6" s="361">
        <v>35</v>
      </c>
      <c r="G6" s="358">
        <f t="shared" si="0"/>
        <v>114</v>
      </c>
      <c r="H6" s="358">
        <f t="shared" si="1"/>
        <v>1040232960</v>
      </c>
    </row>
    <row r="7" spans="1:11" s="371" customFormat="1" ht="23.1" customHeight="1">
      <c r="A7" s="716" t="s">
        <v>1039</v>
      </c>
      <c r="B7" s="368" t="s">
        <v>202</v>
      </c>
      <c r="C7" s="369">
        <v>32</v>
      </c>
      <c r="D7" s="369">
        <v>7</v>
      </c>
      <c r="E7" s="369">
        <v>12</v>
      </c>
      <c r="F7" s="369">
        <v>5</v>
      </c>
      <c r="G7" s="358">
        <f t="shared" si="0"/>
        <v>56</v>
      </c>
      <c r="H7" s="370">
        <f t="shared" si="1"/>
        <v>574853760</v>
      </c>
    </row>
    <row r="8" spans="1:11" ht="23.1" customHeight="1">
      <c r="A8" s="713" t="s">
        <v>1040</v>
      </c>
      <c r="B8" s="360" t="s">
        <v>423</v>
      </c>
      <c r="C8" s="361">
        <v>63</v>
      </c>
      <c r="D8" s="361">
        <v>24</v>
      </c>
      <c r="E8" s="361">
        <v>7</v>
      </c>
      <c r="F8" s="361">
        <v>23</v>
      </c>
      <c r="G8" s="358">
        <f t="shared" si="0"/>
        <v>117</v>
      </c>
      <c r="H8" s="358">
        <f t="shared" si="1"/>
        <v>1165020480</v>
      </c>
    </row>
    <row r="9" spans="1:11" ht="23.1" customHeight="1">
      <c r="A9" s="713" t="s">
        <v>1041</v>
      </c>
      <c r="B9" s="360" t="s">
        <v>83</v>
      </c>
      <c r="C9" s="361">
        <v>60</v>
      </c>
      <c r="D9" s="361">
        <v>16</v>
      </c>
      <c r="E9" s="361">
        <v>14</v>
      </c>
      <c r="F9" s="361">
        <v>25</v>
      </c>
      <c r="G9" s="358">
        <f t="shared" si="0"/>
        <v>115</v>
      </c>
      <c r="H9" s="358">
        <f t="shared" si="1"/>
        <v>1111443840</v>
      </c>
    </row>
    <row r="10" spans="1:11" ht="23.1" customHeight="1">
      <c r="A10" s="713" t="s">
        <v>1042</v>
      </c>
      <c r="B10" s="360" t="s">
        <v>82</v>
      </c>
      <c r="C10" s="361">
        <v>23</v>
      </c>
      <c r="D10" s="361">
        <v>43</v>
      </c>
      <c r="E10" s="361">
        <v>15</v>
      </c>
      <c r="F10" s="361">
        <v>9</v>
      </c>
      <c r="G10" s="358">
        <f t="shared" si="0"/>
        <v>90</v>
      </c>
      <c r="H10" s="358">
        <f t="shared" si="1"/>
        <v>864527040</v>
      </c>
    </row>
    <row r="11" spans="1:11" s="366" customFormat="1" ht="23.1" customHeight="1">
      <c r="A11" s="716" t="s">
        <v>1043</v>
      </c>
      <c r="B11" s="368" t="s">
        <v>319</v>
      </c>
      <c r="C11" s="369">
        <v>54</v>
      </c>
      <c r="D11" s="369">
        <v>21</v>
      </c>
      <c r="E11" s="369">
        <v>31</v>
      </c>
      <c r="F11" s="369">
        <v>20</v>
      </c>
      <c r="G11" s="358">
        <f t="shared" si="0"/>
        <v>126</v>
      </c>
      <c r="H11" s="358">
        <f t="shared" si="1"/>
        <v>1196020800</v>
      </c>
    </row>
    <row r="12" spans="1:11" ht="23.1" customHeight="1">
      <c r="A12" s="713" t="s">
        <v>1044</v>
      </c>
      <c r="B12" s="360" t="s">
        <v>189</v>
      </c>
      <c r="C12" s="361"/>
      <c r="D12" s="361"/>
      <c r="E12" s="361"/>
      <c r="F12" s="361"/>
      <c r="G12" s="358">
        <f t="shared" si="0"/>
        <v>0</v>
      </c>
      <c r="H12" s="358">
        <f t="shared" si="1"/>
        <v>0</v>
      </c>
    </row>
    <row r="13" spans="1:11" s="371" customFormat="1" ht="23.1" customHeight="1">
      <c r="A13" s="716" t="s">
        <v>1045</v>
      </c>
      <c r="B13" s="368" t="s">
        <v>963</v>
      </c>
      <c r="C13" s="369">
        <v>14</v>
      </c>
      <c r="D13" s="369">
        <v>3</v>
      </c>
      <c r="E13" s="369">
        <v>3</v>
      </c>
      <c r="F13" s="369">
        <v>2</v>
      </c>
      <c r="G13" s="358">
        <f t="shared" si="0"/>
        <v>22</v>
      </c>
      <c r="H13" s="370">
        <f t="shared" si="1"/>
        <v>232764480</v>
      </c>
    </row>
    <row r="14" spans="1:11" s="371" customFormat="1" ht="23.1" customHeight="1">
      <c r="A14" s="367">
        <v>91</v>
      </c>
      <c r="B14" s="368" t="s">
        <v>121</v>
      </c>
      <c r="C14" s="369">
        <v>36</v>
      </c>
      <c r="D14" s="369">
        <v>10</v>
      </c>
      <c r="E14" s="369">
        <v>9</v>
      </c>
      <c r="F14" s="369">
        <v>10</v>
      </c>
      <c r="G14" s="358">
        <f t="shared" si="0"/>
        <v>65</v>
      </c>
      <c r="H14" s="370">
        <f t="shared" si="1"/>
        <v>652991040</v>
      </c>
    </row>
    <row r="15" spans="1:11" ht="23.1" customHeight="1">
      <c r="A15" s="356">
        <v>101</v>
      </c>
      <c r="B15" s="360" t="s">
        <v>329</v>
      </c>
      <c r="C15" s="361">
        <v>56</v>
      </c>
      <c r="D15" s="361">
        <v>15</v>
      </c>
      <c r="E15" s="361">
        <v>4</v>
      </c>
      <c r="F15" s="361">
        <v>17</v>
      </c>
      <c r="G15" s="358">
        <f t="shared" si="0"/>
        <v>92</v>
      </c>
      <c r="H15" s="358">
        <f t="shared" si="1"/>
        <v>939968640</v>
      </c>
      <c r="K15" s="788"/>
    </row>
    <row r="16" spans="1:11" ht="23.1" customHeight="1">
      <c r="A16" s="356">
        <v>102</v>
      </c>
      <c r="B16" s="360" t="s">
        <v>201</v>
      </c>
      <c r="C16" s="361"/>
      <c r="D16" s="361"/>
      <c r="E16" s="361"/>
      <c r="F16" s="361"/>
      <c r="G16" s="358">
        <f t="shared" si="0"/>
        <v>0</v>
      </c>
      <c r="H16" s="358">
        <f t="shared" si="1"/>
        <v>0</v>
      </c>
    </row>
    <row r="17" spans="1:14" ht="23.1" customHeight="1">
      <c r="A17" s="356">
        <v>103</v>
      </c>
      <c r="B17" s="360" t="s">
        <v>200</v>
      </c>
      <c r="C17" s="361">
        <v>199</v>
      </c>
      <c r="D17" s="361">
        <v>134</v>
      </c>
      <c r="E17" s="361">
        <v>26</v>
      </c>
      <c r="F17" s="361">
        <v>90</v>
      </c>
      <c r="G17" s="358">
        <f t="shared" si="0"/>
        <v>449</v>
      </c>
      <c r="H17" s="358">
        <f t="shared" si="1"/>
        <v>4367301120</v>
      </c>
      <c r="M17" s="788"/>
    </row>
    <row r="18" spans="1:14" ht="23.1" customHeight="1">
      <c r="A18" s="356">
        <v>104</v>
      </c>
      <c r="B18" s="360" t="s">
        <v>194</v>
      </c>
      <c r="C18" s="361">
        <v>26</v>
      </c>
      <c r="D18" s="361">
        <v>5</v>
      </c>
      <c r="E18" s="361">
        <v>5</v>
      </c>
      <c r="F18" s="361">
        <v>7</v>
      </c>
      <c r="G18" s="358">
        <f t="shared" si="0"/>
        <v>43</v>
      </c>
      <c r="H18" s="358">
        <f t="shared" si="1"/>
        <v>436962240</v>
      </c>
    </row>
    <row r="19" spans="1:14" ht="23.1" customHeight="1">
      <c r="A19" s="356">
        <v>105</v>
      </c>
      <c r="B19" s="360" t="s">
        <v>195</v>
      </c>
      <c r="C19" s="361">
        <v>3</v>
      </c>
      <c r="D19" s="361">
        <v>2</v>
      </c>
      <c r="E19" s="361"/>
      <c r="F19" s="361">
        <v>1</v>
      </c>
      <c r="G19" s="358">
        <f t="shared" si="0"/>
        <v>6</v>
      </c>
      <c r="H19" s="358">
        <f t="shared" si="1"/>
        <v>61027200</v>
      </c>
    </row>
    <row r="20" spans="1:14" ht="23.1" customHeight="1">
      <c r="A20" s="356">
        <v>111</v>
      </c>
      <c r="B20" s="360" t="s">
        <v>112</v>
      </c>
      <c r="C20" s="361">
        <v>124</v>
      </c>
      <c r="D20" s="361">
        <v>97</v>
      </c>
      <c r="E20" s="361">
        <v>46</v>
      </c>
      <c r="F20" s="361">
        <v>67</v>
      </c>
      <c r="G20" s="358">
        <f t="shared" si="0"/>
        <v>334</v>
      </c>
      <c r="H20" s="358">
        <f t="shared" si="1"/>
        <v>3133578240</v>
      </c>
    </row>
    <row r="21" spans="1:14" s="371" customFormat="1" ht="23.1" customHeight="1">
      <c r="A21" s="367">
        <v>112</v>
      </c>
      <c r="B21" s="368" t="s">
        <v>197</v>
      </c>
      <c r="C21" s="369"/>
      <c r="D21" s="369"/>
      <c r="E21" s="369"/>
      <c r="F21" s="369"/>
      <c r="G21" s="358">
        <f t="shared" si="0"/>
        <v>0</v>
      </c>
      <c r="H21" s="358">
        <f t="shared" si="1"/>
        <v>0</v>
      </c>
    </row>
    <row r="22" spans="1:14" ht="23.1" customHeight="1">
      <c r="A22" s="356">
        <v>113</v>
      </c>
      <c r="B22" s="360" t="s">
        <v>72</v>
      </c>
      <c r="C22" s="361"/>
      <c r="D22" s="361"/>
      <c r="E22" s="361"/>
      <c r="F22" s="361"/>
      <c r="G22" s="358">
        <f t="shared" si="0"/>
        <v>0</v>
      </c>
      <c r="H22" s="358">
        <f t="shared" si="1"/>
        <v>0</v>
      </c>
      <c r="N22" s="788"/>
    </row>
    <row r="23" spans="1:14" s="366" customFormat="1" ht="23.1" customHeight="1">
      <c r="A23" s="362">
        <v>114</v>
      </c>
      <c r="B23" s="363" t="s">
        <v>196</v>
      </c>
      <c r="C23" s="364">
        <v>2</v>
      </c>
      <c r="D23" s="364">
        <v>1</v>
      </c>
      <c r="E23" s="364">
        <v>3</v>
      </c>
      <c r="F23" s="364">
        <v>6</v>
      </c>
      <c r="G23" s="358">
        <f t="shared" si="0"/>
        <v>12</v>
      </c>
      <c r="H23" s="358">
        <f t="shared" si="1"/>
        <v>84352320</v>
      </c>
    </row>
    <row r="24" spans="1:14" ht="23.1" customHeight="1">
      <c r="A24" s="356">
        <v>115</v>
      </c>
      <c r="B24" s="360" t="s">
        <v>139</v>
      </c>
      <c r="C24" s="361"/>
      <c r="D24" s="361"/>
      <c r="E24" s="361"/>
      <c r="F24" s="361"/>
      <c r="G24" s="358">
        <f t="shared" si="0"/>
        <v>0</v>
      </c>
      <c r="H24" s="358">
        <f t="shared" si="1"/>
        <v>0</v>
      </c>
    </row>
    <row r="25" spans="1:14" ht="23.1" customHeight="1">
      <c r="A25" s="356">
        <v>116</v>
      </c>
      <c r="B25" s="191" t="s">
        <v>1307</v>
      </c>
      <c r="C25" s="361">
        <v>5</v>
      </c>
      <c r="D25" s="361">
        <v>13</v>
      </c>
      <c r="E25" s="361">
        <v>3</v>
      </c>
      <c r="F25" s="361">
        <v>5</v>
      </c>
      <c r="G25" s="358">
        <f t="shared" si="0"/>
        <v>26</v>
      </c>
      <c r="H25" s="358">
        <f t="shared" si="1"/>
        <v>235984320</v>
      </c>
    </row>
    <row r="26" spans="1:14" ht="23.1" customHeight="1">
      <c r="A26" s="356">
        <v>121</v>
      </c>
      <c r="B26" s="360" t="s">
        <v>87</v>
      </c>
      <c r="C26" s="361">
        <v>98</v>
      </c>
      <c r="D26" s="361">
        <v>173</v>
      </c>
      <c r="E26" s="361">
        <v>58</v>
      </c>
      <c r="F26" s="361">
        <v>19</v>
      </c>
      <c r="G26" s="358">
        <f t="shared" si="0"/>
        <v>348</v>
      </c>
      <c r="H26" s="358">
        <f t="shared" si="1"/>
        <v>3449571840</v>
      </c>
    </row>
    <row r="27" spans="1:14" s="366" customFormat="1" ht="23.1" customHeight="1">
      <c r="A27" s="367">
        <v>122</v>
      </c>
      <c r="B27" s="372" t="s">
        <v>75</v>
      </c>
      <c r="C27" s="369">
        <v>50</v>
      </c>
      <c r="D27" s="369">
        <v>98</v>
      </c>
      <c r="E27" s="369">
        <v>39</v>
      </c>
      <c r="F27" s="369">
        <v>12</v>
      </c>
      <c r="G27" s="358">
        <f t="shared" si="0"/>
        <v>199</v>
      </c>
      <c r="H27" s="358">
        <f t="shared" si="1"/>
        <v>1939504320</v>
      </c>
    </row>
    <row r="28" spans="1:14" s="371" customFormat="1" ht="23.1" customHeight="1">
      <c r="A28" s="367">
        <v>131</v>
      </c>
      <c r="B28" s="368" t="s">
        <v>199</v>
      </c>
      <c r="C28" s="369">
        <v>14</v>
      </c>
      <c r="D28" s="369">
        <v>10</v>
      </c>
      <c r="E28" s="369">
        <v>7</v>
      </c>
      <c r="F28" s="369">
        <v>8</v>
      </c>
      <c r="G28" s="358">
        <f t="shared" si="0"/>
        <v>39</v>
      </c>
      <c r="H28" s="370">
        <f t="shared" si="1"/>
        <v>360135360</v>
      </c>
    </row>
    <row r="29" spans="1:14" ht="23.1" customHeight="1">
      <c r="A29" s="356">
        <v>132</v>
      </c>
      <c r="B29" s="360" t="s">
        <v>60</v>
      </c>
      <c r="C29" s="361"/>
      <c r="D29" s="361"/>
      <c r="E29" s="361"/>
      <c r="F29" s="361"/>
      <c r="G29" s="358">
        <f t="shared" si="0"/>
        <v>0</v>
      </c>
      <c r="H29" s="358">
        <f t="shared" si="1"/>
        <v>0</v>
      </c>
    </row>
    <row r="30" spans="1:14" ht="23.1" customHeight="1">
      <c r="A30" s="356">
        <v>141</v>
      </c>
      <c r="B30" s="360" t="s">
        <v>325</v>
      </c>
      <c r="C30" s="361">
        <v>68</v>
      </c>
      <c r="D30" s="361">
        <v>29</v>
      </c>
      <c r="E30" s="361">
        <v>12</v>
      </c>
      <c r="F30" s="361">
        <v>26</v>
      </c>
      <c r="G30" s="358">
        <f t="shared" si="0"/>
        <v>135</v>
      </c>
      <c r="H30" s="358">
        <f>C30*1017120*12+D30*829920*12+E30*639600*12+F30*374400*12</f>
        <v>1327697280</v>
      </c>
    </row>
    <row r="31" spans="1:14" s="366" customFormat="1" ht="23.1" customHeight="1">
      <c r="A31" s="362">
        <v>151</v>
      </c>
      <c r="B31" s="363" t="s">
        <v>80</v>
      </c>
      <c r="C31" s="364"/>
      <c r="D31" s="364"/>
      <c r="E31" s="364"/>
      <c r="F31" s="364"/>
      <c r="G31" s="358">
        <f t="shared" si="0"/>
        <v>0</v>
      </c>
      <c r="H31" s="358">
        <f t="shared" si="1"/>
        <v>0</v>
      </c>
    </row>
    <row r="32" spans="1:14" ht="23.1" customHeight="1">
      <c r="A32" s="356">
        <v>152</v>
      </c>
      <c r="B32" s="360" t="s">
        <v>965</v>
      </c>
      <c r="C32" s="361"/>
      <c r="D32" s="361"/>
      <c r="E32" s="361"/>
      <c r="F32" s="361"/>
      <c r="G32" s="358">
        <f t="shared" si="0"/>
        <v>0</v>
      </c>
      <c r="H32" s="358">
        <f t="shared" si="1"/>
        <v>0</v>
      </c>
    </row>
    <row r="33" spans="1:14" ht="23.1" customHeight="1">
      <c r="A33" s="356">
        <v>161</v>
      </c>
      <c r="B33" s="360" t="s">
        <v>644</v>
      </c>
      <c r="C33" s="361">
        <v>69</v>
      </c>
      <c r="D33" s="361">
        <v>58</v>
      </c>
      <c r="E33" s="361">
        <v>39</v>
      </c>
      <c r="F33" s="361">
        <v>31</v>
      </c>
      <c r="G33" s="358">
        <f t="shared" si="0"/>
        <v>197</v>
      </c>
      <c r="H33" s="358">
        <f t="shared" si="1"/>
        <v>1858409280</v>
      </c>
    </row>
    <row r="34" spans="1:14" ht="23.1" customHeight="1">
      <c r="A34" s="356">
        <v>171</v>
      </c>
      <c r="B34" s="360" t="s">
        <v>321</v>
      </c>
      <c r="C34" s="361">
        <v>45</v>
      </c>
      <c r="D34" s="361">
        <v>25</v>
      </c>
      <c r="E34" s="361">
        <v>8</v>
      </c>
      <c r="F34" s="361">
        <v>4</v>
      </c>
      <c r="G34" s="358">
        <f t="shared" si="0"/>
        <v>82</v>
      </c>
      <c r="H34" s="358">
        <f t="shared" si="1"/>
        <v>877593600</v>
      </c>
    </row>
    <row r="35" spans="1:14" ht="23.1" customHeight="1">
      <c r="A35" s="356">
        <v>181</v>
      </c>
      <c r="B35" s="360" t="s">
        <v>324</v>
      </c>
      <c r="C35" s="361">
        <v>46</v>
      </c>
      <c r="D35" s="361">
        <v>34</v>
      </c>
      <c r="E35" s="361">
        <v>29</v>
      </c>
      <c r="F35" s="361">
        <v>16</v>
      </c>
      <c r="G35" s="358">
        <f t="shared" si="0"/>
        <v>125</v>
      </c>
      <c r="H35" s="358">
        <f t="shared" si="1"/>
        <v>1194523200</v>
      </c>
    </row>
    <row r="36" spans="1:14" ht="23.1" customHeight="1">
      <c r="A36" s="356">
        <v>191</v>
      </c>
      <c r="B36" s="360" t="s">
        <v>97</v>
      </c>
      <c r="C36" s="361">
        <v>106</v>
      </c>
      <c r="D36" s="361">
        <v>87</v>
      </c>
      <c r="E36" s="361">
        <v>33</v>
      </c>
      <c r="F36" s="361">
        <v>31</v>
      </c>
      <c r="G36" s="358">
        <f t="shared" si="0"/>
        <v>257</v>
      </c>
      <c r="H36" s="358">
        <f t="shared" si="1"/>
        <v>2552771520</v>
      </c>
    </row>
    <row r="37" spans="1:14" s="371" customFormat="1" ht="23.1" customHeight="1">
      <c r="A37" s="367">
        <v>201</v>
      </c>
      <c r="B37" s="368" t="s">
        <v>966</v>
      </c>
      <c r="C37" s="369">
        <v>132</v>
      </c>
      <c r="D37" s="369">
        <v>154</v>
      </c>
      <c r="E37" s="369">
        <v>40</v>
      </c>
      <c r="F37" s="369">
        <v>25</v>
      </c>
      <c r="G37" s="370">
        <f t="shared" si="0"/>
        <v>351</v>
      </c>
      <c r="H37" s="370">
        <f t="shared" si="1"/>
        <v>3564138240</v>
      </c>
    </row>
    <row r="38" spans="1:14" s="366" customFormat="1" ht="23.1" customHeight="1">
      <c r="A38" s="362">
        <v>211</v>
      </c>
      <c r="B38" s="363" t="s">
        <v>86</v>
      </c>
      <c r="C38" s="364">
        <v>44</v>
      </c>
      <c r="D38" s="364">
        <v>53</v>
      </c>
      <c r="E38" s="364">
        <v>8</v>
      </c>
      <c r="F38" s="364">
        <v>14</v>
      </c>
      <c r="G38" s="358">
        <f t="shared" si="0"/>
        <v>119</v>
      </c>
      <c r="H38" s="365">
        <f t="shared" si="1"/>
        <v>1189169280</v>
      </c>
      <c r="L38" s="810"/>
      <c r="M38" s="810"/>
      <c r="N38" s="810"/>
    </row>
    <row r="39" spans="1:14" ht="23.1" customHeight="1">
      <c r="A39" s="373">
        <v>221</v>
      </c>
      <c r="B39" s="360" t="s">
        <v>327</v>
      </c>
      <c r="C39" s="361">
        <v>832</v>
      </c>
      <c r="D39" s="361">
        <v>4859</v>
      </c>
      <c r="E39" s="361">
        <v>29</v>
      </c>
      <c r="F39" s="361">
        <v>751</v>
      </c>
      <c r="G39" s="358">
        <f t="shared" si="0"/>
        <v>6471</v>
      </c>
      <c r="H39" s="358">
        <f t="shared" si="1"/>
        <v>62142575040</v>
      </c>
    </row>
    <row r="40" spans="1:14" ht="23.1" customHeight="1">
      <c r="A40" s="356">
        <v>222</v>
      </c>
      <c r="B40" s="360" t="s">
        <v>583</v>
      </c>
      <c r="C40" s="361">
        <v>11</v>
      </c>
      <c r="D40" s="361">
        <v>2</v>
      </c>
      <c r="E40" s="361"/>
      <c r="F40" s="361"/>
      <c r="G40" s="358">
        <f t="shared" si="0"/>
        <v>13</v>
      </c>
      <c r="H40" s="358">
        <f>C40*1017120*12+D40*829920*12+E40*639600*12+F40*374400*12</f>
        <v>154177920</v>
      </c>
    </row>
    <row r="41" spans="1:14" s="366" customFormat="1" ht="23.1" customHeight="1">
      <c r="A41" s="362">
        <v>223</v>
      </c>
      <c r="B41" s="363" t="s">
        <v>533</v>
      </c>
      <c r="C41" s="364">
        <v>10</v>
      </c>
      <c r="D41" s="364">
        <v>1</v>
      </c>
      <c r="E41" s="364">
        <v>2</v>
      </c>
      <c r="F41" s="364">
        <v>3</v>
      </c>
      <c r="G41" s="358">
        <f t="shared" si="0"/>
        <v>16</v>
      </c>
      <c r="H41" s="365">
        <f t="shared" si="1"/>
        <v>160842240</v>
      </c>
    </row>
    <row r="42" spans="1:14" s="371" customFormat="1" ht="23.1" customHeight="1">
      <c r="A42" s="367">
        <v>231</v>
      </c>
      <c r="B42" s="368" t="s">
        <v>328</v>
      </c>
      <c r="C42" s="369">
        <v>425</v>
      </c>
      <c r="D42" s="369">
        <v>1021</v>
      </c>
      <c r="E42" s="369">
        <v>781</v>
      </c>
      <c r="F42" s="369">
        <v>456</v>
      </c>
      <c r="G42" s="358">
        <f t="shared" si="0"/>
        <v>2683</v>
      </c>
      <c r="H42" s="370">
        <f t="shared" si="1"/>
        <v>23398539840</v>
      </c>
    </row>
    <row r="43" spans="1:14" s="371" customFormat="1" ht="23.1" customHeight="1">
      <c r="A43" s="367">
        <v>232</v>
      </c>
      <c r="B43" s="368" t="s">
        <v>1158</v>
      </c>
      <c r="C43" s="369">
        <v>6</v>
      </c>
      <c r="D43" s="369">
        <v>3</v>
      </c>
      <c r="E43" s="369">
        <v>2</v>
      </c>
      <c r="F43" s="369">
        <v>2</v>
      </c>
      <c r="G43" s="358">
        <f t="shared" si="0"/>
        <v>13</v>
      </c>
      <c r="H43" s="370">
        <f t="shared" si="1"/>
        <v>127445760</v>
      </c>
    </row>
    <row r="44" spans="1:14" ht="23.1" customHeight="1">
      <c r="A44" s="356">
        <v>241</v>
      </c>
      <c r="B44" s="360" t="s">
        <v>198</v>
      </c>
      <c r="C44" s="361">
        <v>27</v>
      </c>
      <c r="D44" s="361">
        <v>29</v>
      </c>
      <c r="E44" s="361">
        <v>21</v>
      </c>
      <c r="F44" s="361">
        <v>6</v>
      </c>
      <c r="G44" s="358">
        <f t="shared" si="0"/>
        <v>83</v>
      </c>
      <c r="H44" s="358">
        <f t="shared" si="1"/>
        <v>806495040</v>
      </c>
    </row>
    <row r="45" spans="1:14" ht="23.1" customHeight="1">
      <c r="A45" s="356">
        <v>242</v>
      </c>
      <c r="B45" s="360" t="s">
        <v>1308</v>
      </c>
      <c r="C45" s="361">
        <v>5</v>
      </c>
      <c r="D45" s="361">
        <v>4</v>
      </c>
      <c r="E45" s="361">
        <v>2</v>
      </c>
      <c r="F45" s="361">
        <v>3</v>
      </c>
      <c r="G45" s="358">
        <f t="shared" si="0"/>
        <v>14</v>
      </c>
      <c r="H45" s="358">
        <f>C45*1017120*12+D45*829920*12+E45*639600*12+F45*374400*12</f>
        <v>129692160</v>
      </c>
    </row>
    <row r="46" spans="1:14" ht="23.1" customHeight="1">
      <c r="A46" s="356">
        <v>251</v>
      </c>
      <c r="B46" s="360" t="s">
        <v>326</v>
      </c>
      <c r="C46" s="361">
        <v>123</v>
      </c>
      <c r="D46" s="361">
        <v>69</v>
      </c>
      <c r="E46" s="361">
        <v>68</v>
      </c>
      <c r="F46" s="361">
        <v>31</v>
      </c>
      <c r="G46" s="358">
        <f t="shared" si="0"/>
        <v>291</v>
      </c>
      <c r="H46" s="358">
        <f t="shared" si="1"/>
        <v>2849633280</v>
      </c>
    </row>
    <row r="47" spans="1:14" ht="23.1" customHeight="1">
      <c r="A47" s="356">
        <v>261</v>
      </c>
      <c r="B47" s="360" t="s">
        <v>331</v>
      </c>
      <c r="C47" s="361">
        <v>101</v>
      </c>
      <c r="D47" s="361">
        <v>95</v>
      </c>
      <c r="E47" s="361">
        <v>64</v>
      </c>
      <c r="F47" s="361">
        <v>63</v>
      </c>
      <c r="G47" s="358">
        <f t="shared" si="0"/>
        <v>323</v>
      </c>
      <c r="H47" s="358">
        <f t="shared" si="1"/>
        <v>2953117440</v>
      </c>
    </row>
    <row r="48" spans="1:14" ht="23.1" customHeight="1">
      <c r="A48" s="356">
        <v>271</v>
      </c>
      <c r="B48" s="360" t="s">
        <v>85</v>
      </c>
      <c r="C48" s="361">
        <v>21</v>
      </c>
      <c r="D48" s="361">
        <v>16</v>
      </c>
      <c r="E48" s="361">
        <v>4</v>
      </c>
      <c r="F48" s="361">
        <v>2</v>
      </c>
      <c r="G48" s="358">
        <f t="shared" si="0"/>
        <v>43</v>
      </c>
      <c r="H48" s="358">
        <f t="shared" si="1"/>
        <v>455345280</v>
      </c>
    </row>
    <row r="49" spans="1:14" ht="23.1" customHeight="1">
      <c r="A49" s="356">
        <v>281</v>
      </c>
      <c r="B49" s="360" t="s">
        <v>81</v>
      </c>
      <c r="C49" s="361">
        <v>10</v>
      </c>
      <c r="D49" s="361">
        <v>20</v>
      </c>
      <c r="E49" s="361">
        <v>8</v>
      </c>
      <c r="F49" s="361">
        <v>4</v>
      </c>
      <c r="G49" s="358">
        <f t="shared" si="0"/>
        <v>42</v>
      </c>
      <c r="H49" s="358">
        <f>C49*1017120*12+D49*829920*12+E49*639600*12+F49*374400*12</f>
        <v>400608000</v>
      </c>
    </row>
    <row r="50" spans="1:14" ht="23.1" customHeight="1">
      <c r="A50" s="356">
        <v>291</v>
      </c>
      <c r="B50" s="360" t="s">
        <v>390</v>
      </c>
      <c r="C50" s="361">
        <v>24</v>
      </c>
      <c r="D50" s="361">
        <v>9</v>
      </c>
      <c r="E50" s="361">
        <v>5</v>
      </c>
      <c r="F50" s="361">
        <v>10</v>
      </c>
      <c r="G50" s="358">
        <f t="shared" si="0"/>
        <v>48</v>
      </c>
      <c r="H50" s="358">
        <f>C50*1017120*12+D50*829920*12+E50*639600*12+F50*374400*12</f>
        <v>465865920</v>
      </c>
    </row>
    <row r="51" spans="1:14" s="371" customFormat="1" ht="23.1" customHeight="1">
      <c r="A51" s="367">
        <v>301</v>
      </c>
      <c r="B51" s="368" t="s">
        <v>318</v>
      </c>
      <c r="C51" s="369">
        <v>82</v>
      </c>
      <c r="D51" s="369">
        <v>56</v>
      </c>
      <c r="E51" s="369">
        <v>24</v>
      </c>
      <c r="F51" s="369">
        <v>20</v>
      </c>
      <c r="G51" s="358">
        <f t="shared" si="0"/>
        <v>182</v>
      </c>
      <c r="H51" s="358">
        <f t="shared" si="1"/>
        <v>1832613120</v>
      </c>
    </row>
    <row r="52" spans="1:14" ht="23.1" customHeight="1">
      <c r="A52" s="356">
        <v>311</v>
      </c>
      <c r="B52" s="360" t="s">
        <v>967</v>
      </c>
      <c r="C52" s="361">
        <v>35</v>
      </c>
      <c r="D52" s="361">
        <v>62</v>
      </c>
      <c r="E52" s="361">
        <v>35</v>
      </c>
      <c r="F52" s="361">
        <v>73</v>
      </c>
      <c r="G52" s="358">
        <f t="shared" si="0"/>
        <v>205</v>
      </c>
      <c r="H52" s="358">
        <f t="shared" si="1"/>
        <v>1641257280</v>
      </c>
    </row>
    <row r="53" spans="1:14" ht="23.1" customHeight="1">
      <c r="A53" s="356">
        <v>321</v>
      </c>
      <c r="B53" s="374" t="s">
        <v>77</v>
      </c>
      <c r="C53" s="361">
        <v>21</v>
      </c>
      <c r="D53" s="361">
        <v>9</v>
      </c>
      <c r="E53" s="361">
        <v>17</v>
      </c>
      <c r="F53" s="361">
        <v>8</v>
      </c>
      <c r="G53" s="358">
        <f t="shared" si="0"/>
        <v>55</v>
      </c>
      <c r="H53" s="358">
        <f t="shared" si="1"/>
        <v>512366400</v>
      </c>
    </row>
    <row r="54" spans="1:14" ht="23.1" customHeight="1">
      <c r="A54" s="356">
        <v>331</v>
      </c>
      <c r="B54" s="360" t="s">
        <v>79</v>
      </c>
      <c r="C54" s="361">
        <v>9</v>
      </c>
      <c r="D54" s="361">
        <v>3</v>
      </c>
      <c r="E54" s="361">
        <v>3</v>
      </c>
      <c r="F54" s="361">
        <v>2</v>
      </c>
      <c r="G54" s="358">
        <f t="shared" si="0"/>
        <v>17</v>
      </c>
      <c r="H54" s="358">
        <f t="shared" si="1"/>
        <v>171737280</v>
      </c>
    </row>
    <row r="55" spans="1:14" ht="23.1" customHeight="1">
      <c r="A55" s="356">
        <v>341</v>
      </c>
      <c r="B55" s="360" t="s">
        <v>94</v>
      </c>
      <c r="C55" s="361">
        <v>12</v>
      </c>
      <c r="D55" s="361">
        <v>9</v>
      </c>
      <c r="E55" s="361">
        <v>2</v>
      </c>
      <c r="F55" s="361">
        <v>5</v>
      </c>
      <c r="G55" s="358">
        <f t="shared" si="0"/>
        <v>28</v>
      </c>
      <c r="H55" s="358">
        <f t="shared" si="1"/>
        <v>273911040</v>
      </c>
    </row>
    <row r="56" spans="1:14" s="366" customFormat="1" ht="23.1" customHeight="1">
      <c r="A56" s="362">
        <v>351</v>
      </c>
      <c r="B56" s="375" t="s">
        <v>316</v>
      </c>
      <c r="C56" s="364">
        <v>8</v>
      </c>
      <c r="D56" s="364">
        <v>0</v>
      </c>
      <c r="E56" s="364">
        <v>2</v>
      </c>
      <c r="F56" s="364">
        <v>4</v>
      </c>
      <c r="G56" s="358">
        <f t="shared" si="0"/>
        <v>14</v>
      </c>
      <c r="H56" s="365">
        <f t="shared" si="1"/>
        <v>130965120</v>
      </c>
    </row>
    <row r="57" spans="1:14" s="366" customFormat="1" ht="23.1" customHeight="1">
      <c r="A57" s="367">
        <v>361</v>
      </c>
      <c r="B57" s="376" t="s">
        <v>438</v>
      </c>
      <c r="C57" s="369">
        <v>5</v>
      </c>
      <c r="D57" s="369">
        <v>5</v>
      </c>
      <c r="E57" s="369">
        <v>1</v>
      </c>
      <c r="F57" s="369">
        <v>1</v>
      </c>
      <c r="G57" s="358">
        <f t="shared" si="0"/>
        <v>12</v>
      </c>
      <c r="H57" s="370">
        <f t="shared" si="1"/>
        <v>122990400</v>
      </c>
      <c r="N57" s="810"/>
    </row>
    <row r="58" spans="1:14" s="366" customFormat="1" ht="23.1" customHeight="1">
      <c r="A58" s="362">
        <v>371</v>
      </c>
      <c r="B58" s="377" t="s">
        <v>330</v>
      </c>
      <c r="C58" s="364"/>
      <c r="D58" s="364"/>
      <c r="E58" s="364"/>
      <c r="F58" s="364"/>
      <c r="G58" s="358">
        <f t="shared" si="0"/>
        <v>0</v>
      </c>
      <c r="H58" s="365">
        <f t="shared" si="1"/>
        <v>0</v>
      </c>
    </row>
    <row r="59" spans="1:14" ht="23.1" customHeight="1">
      <c r="A59" s="356">
        <v>381</v>
      </c>
      <c r="B59" s="378" t="s">
        <v>389</v>
      </c>
      <c r="C59" s="361">
        <v>29</v>
      </c>
      <c r="D59" s="361">
        <v>38</v>
      </c>
      <c r="E59" s="361">
        <v>3</v>
      </c>
      <c r="F59" s="361">
        <v>6</v>
      </c>
      <c r="G59" s="358">
        <f t="shared" si="0"/>
        <v>76</v>
      </c>
      <c r="H59" s="358">
        <f t="shared" si="1"/>
        <v>782383680</v>
      </c>
    </row>
    <row r="60" spans="1:14" ht="23.1" customHeight="1">
      <c r="A60" s="356">
        <v>391</v>
      </c>
      <c r="B60" s="378" t="s">
        <v>435</v>
      </c>
      <c r="C60" s="361">
        <v>14</v>
      </c>
      <c r="D60" s="361">
        <v>1</v>
      </c>
      <c r="E60" s="361">
        <v>4</v>
      </c>
      <c r="F60" s="361">
        <v>5</v>
      </c>
      <c r="G60" s="358">
        <f t="shared" si="0"/>
        <v>24</v>
      </c>
      <c r="H60" s="358">
        <f t="shared" si="1"/>
        <v>234000000</v>
      </c>
    </row>
    <row r="61" spans="1:14" s="371" customFormat="1" ht="23.1" customHeight="1">
      <c r="A61" s="367">
        <v>401</v>
      </c>
      <c r="B61" s="368" t="s">
        <v>969</v>
      </c>
      <c r="C61" s="369">
        <v>38</v>
      </c>
      <c r="D61" s="369">
        <v>28</v>
      </c>
      <c r="E61" s="369">
        <v>16</v>
      </c>
      <c r="F61" s="369">
        <v>13</v>
      </c>
      <c r="G61" s="358">
        <f>C61+D61+E61+F61</f>
        <v>95</v>
      </c>
      <c r="H61" s="370">
        <f>C61*1017120*12+D61*829920*12+E61*639600*12+F61*374400*12</f>
        <v>923869440</v>
      </c>
    </row>
    <row r="62" spans="1:14" ht="23.1" customHeight="1">
      <c r="A62" s="356">
        <v>411</v>
      </c>
      <c r="B62" s="379" t="s">
        <v>968</v>
      </c>
      <c r="C62" s="361">
        <v>47</v>
      </c>
      <c r="D62" s="361">
        <v>50</v>
      </c>
      <c r="E62" s="361">
        <v>336</v>
      </c>
      <c r="F62" s="361">
        <v>0</v>
      </c>
      <c r="G62" s="358">
        <f>C62+D62+E62+F62</f>
        <v>433</v>
      </c>
      <c r="H62" s="358">
        <f t="shared" si="1"/>
        <v>3650474880</v>
      </c>
    </row>
    <row r="63" spans="1:14" ht="23.1" customHeight="1">
      <c r="A63" s="356">
        <v>431</v>
      </c>
      <c r="B63" s="360" t="s">
        <v>828</v>
      </c>
      <c r="C63" s="361">
        <v>57</v>
      </c>
      <c r="D63" s="361">
        <v>23</v>
      </c>
      <c r="E63" s="361">
        <v>9</v>
      </c>
      <c r="F63" s="361">
        <v>13</v>
      </c>
      <c r="G63" s="358">
        <f>C63+D63+E63+F63</f>
        <v>102</v>
      </c>
      <c r="H63" s="358">
        <f t="shared" si="1"/>
        <v>1052251200</v>
      </c>
    </row>
    <row r="64" spans="1:14" ht="23.1" customHeight="1">
      <c r="A64" s="356">
        <v>441</v>
      </c>
      <c r="B64" s="360" t="s">
        <v>970</v>
      </c>
      <c r="C64" s="361">
        <v>58</v>
      </c>
      <c r="D64" s="361">
        <v>44</v>
      </c>
      <c r="E64" s="361">
        <v>15</v>
      </c>
      <c r="F64" s="361">
        <v>4</v>
      </c>
      <c r="G64" s="358">
        <f t="shared" si="0"/>
        <v>121</v>
      </c>
      <c r="H64" s="358">
        <f t="shared" si="1"/>
        <v>1279212480</v>
      </c>
    </row>
    <row r="65" spans="1:8" ht="23.1" customHeight="1">
      <c r="A65" s="356"/>
      <c r="B65" s="357" t="s">
        <v>971</v>
      </c>
      <c r="C65" s="361">
        <f>SUM(C2:C64)</f>
        <v>3470</v>
      </c>
      <c r="D65" s="361">
        <f>SUM(D2:D64)</f>
        <v>7605</v>
      </c>
      <c r="E65" s="361">
        <f>SUM(E2:E64)</f>
        <v>1926</v>
      </c>
      <c r="F65" s="361">
        <f>SUM(F2:F64)</f>
        <v>2021</v>
      </c>
      <c r="G65" s="358">
        <f>SUM(G2:G64)</f>
        <v>15022</v>
      </c>
      <c r="H65" s="358">
        <f>SUM(H3:H64)</f>
        <v>141953760000</v>
      </c>
    </row>
  </sheetData>
  <pageMargins left="0.7" right="0.7" top="0.75" bottom="0.75" header="0.3" footer="0.3"/>
  <pageSetup scale="45" orientation="portrait" r:id="rId1"/>
  <headerFooter>
    <oddHeader>&amp;C&amp;"Times New Roman,Bold"Shaxda Shaqaalaha 2016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7"/>
  </sheetPr>
  <dimension ref="A1:AC54"/>
  <sheetViews>
    <sheetView view="pageBreakPreview" zoomScale="60" workbookViewId="0">
      <selection activeCell="B4" sqref="B4"/>
    </sheetView>
  </sheetViews>
  <sheetFormatPr defaultRowHeight="12.75"/>
  <cols>
    <col min="1" max="1" width="19.83203125" bestFit="1" customWidth="1"/>
    <col min="2" max="2" width="43.5" customWidth="1"/>
    <col min="3" max="3" width="17" hidden="1" customWidth="1"/>
    <col min="4" max="4" width="18.5" hidden="1" customWidth="1"/>
    <col min="5" max="6" width="20.33203125" hidden="1" customWidth="1"/>
    <col min="7" max="7" width="0.1640625" hidden="1" customWidth="1"/>
    <col min="8" max="8" width="0.6640625" hidden="1" customWidth="1"/>
    <col min="9" max="11" width="24.5" hidden="1" customWidth="1"/>
    <col min="12" max="13" width="24.5" customWidth="1"/>
    <col min="14" max="14" width="28.83203125" bestFit="1" customWidth="1"/>
    <col min="15" max="15" width="1.6640625" hidden="1" customWidth="1"/>
    <col min="16" max="16" width="9.6640625" hidden="1" customWidth="1"/>
    <col min="17" max="17" width="11.6640625" hidden="1" customWidth="1"/>
    <col min="18" max="18" width="9.33203125" hidden="1" customWidth="1"/>
  </cols>
  <sheetData>
    <row r="1" spans="1:29" ht="20.25" customHeight="1">
      <c r="A1" s="1021" t="s">
        <v>863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2"/>
      <c r="P1" s="1022"/>
      <c r="Q1" s="1022"/>
      <c r="R1" s="9"/>
    </row>
    <row r="2" spans="1:29" s="3" customFormat="1" ht="20.25" customHeight="1">
      <c r="A2" s="384" t="s">
        <v>40</v>
      </c>
      <c r="B2" s="394" t="s">
        <v>1034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72"/>
      <c r="P2" s="72"/>
      <c r="Q2" s="72"/>
    </row>
    <row r="3" spans="1:29" s="7" customFormat="1" ht="20.25" customHeight="1">
      <c r="A3" s="384" t="s">
        <v>0</v>
      </c>
      <c r="B3" s="383" t="s">
        <v>1</v>
      </c>
      <c r="C3" s="383" t="s">
        <v>46</v>
      </c>
      <c r="D3" s="383" t="s">
        <v>55</v>
      </c>
      <c r="E3" s="383" t="s">
        <v>62</v>
      </c>
      <c r="F3" s="383" t="s">
        <v>103</v>
      </c>
      <c r="G3" s="383" t="s">
        <v>107</v>
      </c>
      <c r="H3" s="383" t="s">
        <v>138</v>
      </c>
      <c r="I3" s="383" t="s">
        <v>259</v>
      </c>
      <c r="J3" s="383" t="s">
        <v>805</v>
      </c>
      <c r="K3" s="383" t="s">
        <v>973</v>
      </c>
      <c r="L3" s="383" t="s">
        <v>1160</v>
      </c>
      <c r="M3" s="383" t="s">
        <v>1320</v>
      </c>
      <c r="N3" s="383" t="s">
        <v>61</v>
      </c>
      <c r="O3" s="72" t="s">
        <v>41</v>
      </c>
      <c r="P3" s="72" t="s">
        <v>4</v>
      </c>
      <c r="Q3" s="72"/>
    </row>
    <row r="4" spans="1:29" s="1" customFormat="1" ht="20.25" customHeight="1">
      <c r="A4" s="384">
        <v>2000</v>
      </c>
      <c r="B4" s="385" t="s">
        <v>375</v>
      </c>
      <c r="C4" s="386">
        <f>3756364000-93840000-412000000</f>
        <v>3250524000</v>
      </c>
      <c r="D4" s="386">
        <v>2600419200</v>
      </c>
      <c r="E4" s="386">
        <v>2600419200</v>
      </c>
      <c r="F4" s="386">
        <v>2600419200</v>
      </c>
      <c r="G4" s="386">
        <v>2600419200</v>
      </c>
      <c r="H4" s="386">
        <v>0</v>
      </c>
      <c r="I4" s="386">
        <v>0</v>
      </c>
      <c r="J4" s="386">
        <v>0</v>
      </c>
      <c r="K4" s="386">
        <v>0</v>
      </c>
      <c r="L4" s="386">
        <v>0</v>
      </c>
      <c r="M4" s="386">
        <v>0</v>
      </c>
      <c r="N4" s="387">
        <f>M4-L4</f>
        <v>0</v>
      </c>
      <c r="O4" s="58"/>
      <c r="P4" s="58"/>
      <c r="Q4" s="58"/>
    </row>
    <row r="5" spans="1:29" s="1" customFormat="1" ht="20.25" customHeight="1">
      <c r="A5" s="384">
        <v>21101</v>
      </c>
      <c r="B5" s="385" t="s">
        <v>315</v>
      </c>
      <c r="C5" s="386"/>
      <c r="D5" s="386"/>
      <c r="E5" s="386"/>
      <c r="F5" s="386"/>
      <c r="G5" s="386"/>
      <c r="H5" s="386">
        <v>2600419200</v>
      </c>
      <c r="I5" s="386">
        <v>546000000</v>
      </c>
      <c r="J5" s="386">
        <v>546000000</v>
      </c>
      <c r="K5" s="386">
        <v>546000000</v>
      </c>
      <c r="L5" s="386">
        <v>546000000</v>
      </c>
      <c r="M5" s="386">
        <v>546000000</v>
      </c>
      <c r="N5" s="387">
        <f t="shared" ref="N5:N7" si="0">M5-L5</f>
        <v>0</v>
      </c>
      <c r="O5" s="58"/>
      <c r="P5" s="58"/>
      <c r="Q5" s="58"/>
    </row>
    <row r="6" spans="1:29" s="1" customFormat="1" ht="20.25" customHeight="1">
      <c r="A6" s="390">
        <v>21103</v>
      </c>
      <c r="B6" s="385" t="s">
        <v>106</v>
      </c>
      <c r="C6" s="386"/>
      <c r="D6" s="386"/>
      <c r="E6" s="386"/>
      <c r="F6" s="386"/>
      <c r="G6" s="386"/>
      <c r="H6" s="386">
        <v>0</v>
      </c>
      <c r="I6" s="386">
        <v>273000000</v>
      </c>
      <c r="J6" s="386">
        <v>273000000</v>
      </c>
      <c r="K6" s="386">
        <v>273000000</v>
      </c>
      <c r="L6" s="386">
        <v>273000000</v>
      </c>
      <c r="M6" s="386">
        <v>273000000</v>
      </c>
      <c r="N6" s="387">
        <f t="shared" si="0"/>
        <v>0</v>
      </c>
      <c r="O6" s="58"/>
      <c r="P6" s="58"/>
      <c r="Q6" s="58"/>
      <c r="AC6" s="382"/>
    </row>
    <row r="7" spans="1:29" s="5" customFormat="1" ht="20.25" customHeight="1">
      <c r="A7" s="388"/>
      <c r="B7" s="388" t="s">
        <v>96</v>
      </c>
      <c r="C7" s="389"/>
      <c r="D7" s="389"/>
      <c r="E7" s="389"/>
      <c r="F7" s="386"/>
      <c r="G7" s="386"/>
      <c r="H7" s="386">
        <f t="shared" ref="H7:M7" si="1">SUM(H4:H6)</f>
        <v>2600419200</v>
      </c>
      <c r="I7" s="386">
        <f t="shared" si="1"/>
        <v>819000000</v>
      </c>
      <c r="J7" s="386">
        <f t="shared" si="1"/>
        <v>819000000</v>
      </c>
      <c r="K7" s="386">
        <f t="shared" si="1"/>
        <v>819000000</v>
      </c>
      <c r="L7" s="386">
        <f t="shared" si="1"/>
        <v>819000000</v>
      </c>
      <c r="M7" s="386">
        <f t="shared" si="1"/>
        <v>819000000</v>
      </c>
      <c r="N7" s="387">
        <f t="shared" si="0"/>
        <v>0</v>
      </c>
      <c r="O7" s="77"/>
      <c r="P7" s="77"/>
      <c r="Q7" s="77"/>
    </row>
    <row r="8" spans="1:29" s="2" customFormat="1" ht="20.25" customHeight="1">
      <c r="A8" s="1020" t="s">
        <v>41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78">
        <v>10800000</v>
      </c>
      <c r="P8" s="78"/>
      <c r="Q8" s="78"/>
    </row>
    <row r="9" spans="1:29" s="2" customFormat="1" ht="20.25" customHeight="1">
      <c r="A9" s="1020"/>
      <c r="B9" s="1020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78"/>
      <c r="P9" s="78"/>
      <c r="Q9" s="78"/>
    </row>
    <row r="10" spans="1:29" s="2" customFormat="1" ht="20.25" customHeight="1">
      <c r="A10" s="1020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78"/>
      <c r="P10" s="78"/>
      <c r="Q10" s="78"/>
    </row>
    <row r="11" spans="1:29" s="8" customFormat="1" ht="20.25" customHeight="1">
      <c r="A11" s="1020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72" t="s">
        <v>4</v>
      </c>
      <c r="P11" s="72" t="s">
        <v>4</v>
      </c>
      <c r="Q11" s="72" t="s">
        <v>4</v>
      </c>
    </row>
    <row r="12" spans="1:29" s="2" customFormat="1" ht="20.25" customHeight="1">
      <c r="A12" s="1020"/>
      <c r="B12" s="1020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78"/>
      <c r="P12" s="78"/>
      <c r="Q12" s="78"/>
    </row>
    <row r="13" spans="1:29" s="5" customFormat="1" ht="20.25" customHeight="1">
      <c r="A13" s="1020"/>
      <c r="B13" s="1020"/>
      <c r="C13" s="1020"/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77">
        <v>74752350</v>
      </c>
      <c r="P13" s="77"/>
      <c r="Q13" s="77"/>
    </row>
    <row r="14" spans="1:29" s="2" customFormat="1" ht="20.25" customHeight="1">
      <c r="A14" s="1020"/>
      <c r="B14" s="1020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78"/>
      <c r="P14" s="78"/>
      <c r="Q14" s="78"/>
    </row>
    <row r="15" spans="1:29" s="2" customFormat="1" ht="20.25" customHeight="1">
      <c r="A15" s="269" t="s">
        <v>864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29" s="2" customFormat="1" ht="20.25" customHeight="1">
      <c r="A16" s="712" t="s">
        <v>40</v>
      </c>
      <c r="B16" s="395" t="s">
        <v>1035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20" s="2" customFormat="1" ht="20.25" customHeight="1">
      <c r="A17" s="710" t="s">
        <v>0</v>
      </c>
      <c r="B17" s="71" t="s">
        <v>1</v>
      </c>
      <c r="C17" s="71" t="s">
        <v>46</v>
      </c>
      <c r="D17" s="71" t="s">
        <v>58</v>
      </c>
      <c r="E17" s="71" t="s">
        <v>63</v>
      </c>
      <c r="F17" s="71" t="s">
        <v>103</v>
      </c>
      <c r="G17" s="71" t="s">
        <v>107</v>
      </c>
      <c r="H17" s="71" t="s">
        <v>138</v>
      </c>
      <c r="I17" s="71" t="s">
        <v>259</v>
      </c>
      <c r="J17" s="71" t="s">
        <v>805</v>
      </c>
      <c r="K17" s="71" t="s">
        <v>973</v>
      </c>
      <c r="L17" s="71" t="s">
        <v>1160</v>
      </c>
      <c r="M17" s="71">
        <v>2017</v>
      </c>
      <c r="N17" s="79" t="s">
        <v>61</v>
      </c>
      <c r="T17" s="391"/>
    </row>
    <row r="18" spans="1:20" s="2" customFormat="1" ht="20.25" customHeight="1">
      <c r="A18" s="709">
        <v>2000</v>
      </c>
      <c r="B18" s="75" t="s">
        <v>42</v>
      </c>
      <c r="C18" s="75">
        <v>1189000000</v>
      </c>
      <c r="D18" s="75">
        <f>951200000+200000000</f>
        <v>1151200000</v>
      </c>
      <c r="E18" s="75">
        <v>1151200000</v>
      </c>
      <c r="F18" s="75">
        <v>1151200000</v>
      </c>
      <c r="G18" s="75">
        <v>1151200000</v>
      </c>
      <c r="H18" s="74">
        <v>0</v>
      </c>
      <c r="I18" s="75">
        <v>0</v>
      </c>
      <c r="J18" s="75">
        <v>0</v>
      </c>
      <c r="K18" s="75"/>
      <c r="L18" s="75"/>
      <c r="M18" s="75"/>
      <c r="N18" s="75">
        <f>M18-L18</f>
        <v>0</v>
      </c>
    </row>
    <row r="19" spans="1:20" s="2" customFormat="1" ht="20.25" customHeight="1">
      <c r="A19" s="710">
        <v>21101</v>
      </c>
      <c r="B19" s="73" t="s">
        <v>315</v>
      </c>
      <c r="C19" s="74"/>
      <c r="D19" s="74"/>
      <c r="E19" s="74"/>
      <c r="F19" s="74"/>
      <c r="G19" s="74"/>
      <c r="H19" s="74">
        <v>1151200000</v>
      </c>
      <c r="I19" s="74">
        <v>390000000</v>
      </c>
      <c r="J19" s="74">
        <v>390000000</v>
      </c>
      <c r="K19" s="74">
        <v>390000000</v>
      </c>
      <c r="L19" s="74">
        <v>390000000</v>
      </c>
      <c r="M19" s="74">
        <v>390000000</v>
      </c>
      <c r="N19" s="75">
        <f t="shared" ref="N19:N21" si="2">M19-L19</f>
        <v>0</v>
      </c>
    </row>
    <row r="20" spans="1:20" s="2" customFormat="1" ht="20.25" customHeight="1">
      <c r="A20" s="711">
        <v>21103</v>
      </c>
      <c r="B20" s="73" t="s">
        <v>106</v>
      </c>
      <c r="C20" s="74"/>
      <c r="D20" s="74"/>
      <c r="E20" s="74"/>
      <c r="F20" s="74"/>
      <c r="G20" s="74"/>
      <c r="H20" s="74">
        <v>0</v>
      </c>
      <c r="I20" s="74">
        <v>195000000</v>
      </c>
      <c r="J20" s="74">
        <v>195000000</v>
      </c>
      <c r="K20" s="74">
        <v>195000000</v>
      </c>
      <c r="L20" s="74">
        <v>195000000</v>
      </c>
      <c r="M20" s="74">
        <v>195000000</v>
      </c>
      <c r="N20" s="75">
        <f t="shared" si="2"/>
        <v>0</v>
      </c>
    </row>
    <row r="21" spans="1:20" s="12" customFormat="1" ht="20.25" customHeight="1">
      <c r="A21" s="76"/>
      <c r="B21" s="76" t="s">
        <v>5</v>
      </c>
      <c r="C21" s="76">
        <f>SUM(C18)</f>
        <v>1189000000</v>
      </c>
      <c r="D21" s="75">
        <f>SUM(D18)</f>
        <v>1151200000</v>
      </c>
      <c r="E21" s="75">
        <v>1151200000</v>
      </c>
      <c r="F21" s="75">
        <v>1151200000</v>
      </c>
      <c r="G21" s="75">
        <v>1151200000</v>
      </c>
      <c r="H21" s="75">
        <f t="shared" ref="H21:M21" si="3">SUM(H18:H20)</f>
        <v>1151200000</v>
      </c>
      <c r="I21" s="75">
        <f t="shared" si="3"/>
        <v>585000000</v>
      </c>
      <c r="J21" s="75">
        <f t="shared" si="3"/>
        <v>585000000</v>
      </c>
      <c r="K21" s="75">
        <f t="shared" si="3"/>
        <v>585000000</v>
      </c>
      <c r="L21" s="75">
        <f t="shared" si="3"/>
        <v>585000000</v>
      </c>
      <c r="M21" s="75">
        <f t="shared" si="3"/>
        <v>585000000</v>
      </c>
      <c r="N21" s="75">
        <f t="shared" si="2"/>
        <v>0</v>
      </c>
    </row>
    <row r="22" spans="1:20" s="2" customFormat="1" ht="12">
      <c r="A22" s="10"/>
      <c r="B22" s="10"/>
      <c r="C22" s="10"/>
      <c r="D22" s="10"/>
      <c r="E22" s="10"/>
      <c r="F22" s="15"/>
      <c r="G22" s="15"/>
      <c r="H22" s="15"/>
      <c r="I22" s="15"/>
      <c r="J22" s="15"/>
      <c r="K22" s="15"/>
      <c r="L22" s="15"/>
      <c r="M22" s="15"/>
      <c r="N22" s="10"/>
    </row>
    <row r="23" spans="1:20" s="2" customFormat="1" ht="12">
      <c r="D23" s="2">
        <f>D22/C18</f>
        <v>0</v>
      </c>
    </row>
    <row r="24" spans="1:20" s="2" customFormat="1" ht="12"/>
    <row r="25" spans="1:20" s="2" customFormat="1" ht="12"/>
    <row r="26" spans="1:20" s="2" customFormat="1" ht="12"/>
    <row r="27" spans="1:20" s="2" customFormat="1" ht="12">
      <c r="O27" s="2">
        <f>SUM(O22:O26)</f>
        <v>0</v>
      </c>
    </row>
    <row r="28" spans="1:20" s="2" customFormat="1" ht="12"/>
    <row r="29" spans="1:20" s="2" customFormat="1" ht="12"/>
    <row r="30" spans="1:20" s="2" customFormat="1" ht="12"/>
    <row r="31" spans="1:20" s="2" customFormat="1" ht="12"/>
    <row r="32" spans="1:20">
      <c r="O32" s="6">
        <f>SUM(O29:O31)</f>
        <v>0</v>
      </c>
    </row>
    <row r="50" spans="15:15">
      <c r="O50">
        <v>0</v>
      </c>
    </row>
    <row r="52" spans="15:15">
      <c r="O52">
        <f>SUM(O34:O51)</f>
        <v>0</v>
      </c>
    </row>
    <row r="54" spans="15:15">
      <c r="O54">
        <f>1386274192-71600000-798000-176160000-12600000</f>
        <v>1125116192</v>
      </c>
    </row>
  </sheetData>
  <mergeCells count="3">
    <mergeCell ref="A8:N14"/>
    <mergeCell ref="A1:N1"/>
    <mergeCell ref="O1:Q1"/>
  </mergeCells>
  <phoneticPr fontId="0" type="noConversion"/>
  <printOptions gridLines="1"/>
  <pageMargins left="0.66" right="0.25" top="2.59" bottom="0.21" header="1.98" footer="0.35"/>
  <pageSetup scale="75" orientation="portrait" r:id="rId1"/>
  <headerFooter alignWithMargins="0">
    <oddFooter>&amp;R1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view="pageBreakPreview" zoomScale="60" zoomScaleNormal="64" workbookViewId="0">
      <selection activeCell="P20" sqref="P20"/>
    </sheetView>
  </sheetViews>
  <sheetFormatPr defaultRowHeight="28.5"/>
  <cols>
    <col min="1" max="1" width="11.83203125" style="371" bestFit="1" customWidth="1"/>
    <col min="2" max="2" width="98.83203125" style="371" bestFit="1" customWidth="1"/>
    <col min="3" max="6" width="14.6640625" style="371" bestFit="1" customWidth="1"/>
    <col min="7" max="7" width="16.83203125" style="371" bestFit="1" customWidth="1"/>
    <col min="8" max="8" width="35.5" style="371" bestFit="1" customWidth="1"/>
    <col min="9" max="16384" width="9.33203125" style="371"/>
  </cols>
  <sheetData>
    <row r="1" spans="1:8" ht="24" customHeight="1">
      <c r="A1" s="367" t="s">
        <v>961</v>
      </c>
      <c r="B1" s="715" t="s">
        <v>962</v>
      </c>
      <c r="C1" s="715" t="s">
        <v>51</v>
      </c>
      <c r="D1" s="715" t="s">
        <v>52</v>
      </c>
      <c r="E1" s="715" t="s">
        <v>53</v>
      </c>
      <c r="F1" s="715" t="s">
        <v>54</v>
      </c>
      <c r="G1" s="370" t="s">
        <v>544</v>
      </c>
      <c r="H1" s="370" t="s">
        <v>476</v>
      </c>
    </row>
    <row r="2" spans="1:8" ht="24" customHeight="1">
      <c r="A2" s="716" t="s">
        <v>1034</v>
      </c>
      <c r="B2" s="368" t="s">
        <v>91</v>
      </c>
      <c r="C2" s="370"/>
      <c r="D2" s="370"/>
      <c r="E2" s="370"/>
      <c r="F2" s="370"/>
      <c r="G2" s="370">
        <f>C2+D2+E2+F2</f>
        <v>0</v>
      </c>
      <c r="H2" s="370">
        <f>C2*1017120*12+D2*829920*12+E2*639600*12+F2*374400*12</f>
        <v>0</v>
      </c>
    </row>
    <row r="3" spans="1:8" ht="24" customHeight="1">
      <c r="A3" s="716" t="s">
        <v>1035</v>
      </c>
      <c r="B3" s="368" t="s">
        <v>90</v>
      </c>
      <c r="C3" s="715"/>
      <c r="D3" s="370"/>
      <c r="E3" s="370"/>
      <c r="F3" s="370"/>
      <c r="G3" s="370">
        <f t="shared" ref="G3:G63" si="0">C3+D3+E3+F3</f>
        <v>0</v>
      </c>
      <c r="H3" s="370">
        <f t="shared" ref="H3:H63" si="1">C3*1017120*12+D3*829920*12+E3*639600*12+F3*374400*12</f>
        <v>0</v>
      </c>
    </row>
    <row r="4" spans="1:8" ht="24" customHeight="1">
      <c r="A4" s="716" t="s">
        <v>1037</v>
      </c>
      <c r="B4" s="368" t="s">
        <v>203</v>
      </c>
      <c r="C4" s="369">
        <v>2</v>
      </c>
      <c r="D4" s="369">
        <v>1</v>
      </c>
      <c r="E4" s="369"/>
      <c r="F4" s="369">
        <v>1</v>
      </c>
      <c r="G4" s="370">
        <f t="shared" si="0"/>
        <v>4</v>
      </c>
      <c r="H4" s="370">
        <f t="shared" si="1"/>
        <v>38862720</v>
      </c>
    </row>
    <row r="5" spans="1:8" ht="24" customHeight="1">
      <c r="A5" s="716" t="s">
        <v>1038</v>
      </c>
      <c r="B5" s="368" t="s">
        <v>88</v>
      </c>
      <c r="C5" s="369"/>
      <c r="D5" s="369"/>
      <c r="E5" s="369"/>
      <c r="F5" s="369"/>
      <c r="G5" s="370">
        <f t="shared" si="0"/>
        <v>0</v>
      </c>
      <c r="H5" s="370">
        <f t="shared" si="1"/>
        <v>0</v>
      </c>
    </row>
    <row r="6" spans="1:8" ht="24" customHeight="1">
      <c r="A6" s="367">
        <v>3</v>
      </c>
      <c r="B6" s="368" t="s">
        <v>89</v>
      </c>
      <c r="C6" s="369"/>
      <c r="D6" s="369"/>
      <c r="E6" s="369"/>
      <c r="F6" s="369"/>
      <c r="G6" s="370">
        <f t="shared" si="0"/>
        <v>0</v>
      </c>
      <c r="H6" s="370">
        <f t="shared" si="1"/>
        <v>0</v>
      </c>
    </row>
    <row r="7" spans="1:8" ht="24" customHeight="1">
      <c r="A7" s="367">
        <v>4</v>
      </c>
      <c r="B7" s="368" t="s">
        <v>202</v>
      </c>
      <c r="C7" s="369"/>
      <c r="D7" s="369"/>
      <c r="E7" s="369"/>
      <c r="F7" s="369"/>
      <c r="G7" s="370">
        <f t="shared" si="0"/>
        <v>0</v>
      </c>
      <c r="H7" s="370">
        <f t="shared" si="1"/>
        <v>0</v>
      </c>
    </row>
    <row r="8" spans="1:8" ht="24" customHeight="1">
      <c r="A8" s="367">
        <v>5</v>
      </c>
      <c r="B8" s="368" t="s">
        <v>423</v>
      </c>
      <c r="C8" s="369"/>
      <c r="D8" s="369"/>
      <c r="E8" s="369"/>
      <c r="F8" s="369"/>
      <c r="G8" s="370">
        <f t="shared" si="0"/>
        <v>0</v>
      </c>
      <c r="H8" s="370">
        <f t="shared" si="1"/>
        <v>0</v>
      </c>
    </row>
    <row r="9" spans="1:8" ht="24" customHeight="1">
      <c r="A9" s="367">
        <v>6</v>
      </c>
      <c r="B9" s="368" t="s">
        <v>83</v>
      </c>
      <c r="C9" s="369"/>
      <c r="D9" s="369"/>
      <c r="E9" s="369"/>
      <c r="F9" s="369"/>
      <c r="G9" s="370">
        <f t="shared" si="0"/>
        <v>0</v>
      </c>
      <c r="H9" s="370">
        <f t="shared" si="1"/>
        <v>0</v>
      </c>
    </row>
    <row r="10" spans="1:8" ht="24" customHeight="1">
      <c r="A10" s="367">
        <v>7</v>
      </c>
      <c r="B10" s="368" t="s">
        <v>82</v>
      </c>
      <c r="C10" s="369"/>
      <c r="D10" s="369"/>
      <c r="E10" s="369"/>
      <c r="F10" s="369"/>
      <c r="G10" s="370">
        <f t="shared" si="0"/>
        <v>0</v>
      </c>
      <c r="H10" s="370">
        <f t="shared" si="1"/>
        <v>0</v>
      </c>
    </row>
    <row r="11" spans="1:8" ht="24" customHeight="1">
      <c r="A11" s="367">
        <v>8</v>
      </c>
      <c r="B11" s="368" t="s">
        <v>319</v>
      </c>
      <c r="C11" s="369">
        <v>5</v>
      </c>
      <c r="D11" s="369">
        <v>3</v>
      </c>
      <c r="E11" s="369"/>
      <c r="F11" s="369"/>
      <c r="G11" s="370">
        <f t="shared" si="0"/>
        <v>8</v>
      </c>
      <c r="H11" s="370">
        <f t="shared" si="1"/>
        <v>90904320</v>
      </c>
    </row>
    <row r="12" spans="1:8" ht="24" customHeight="1">
      <c r="A12" s="367" t="s">
        <v>494</v>
      </c>
      <c r="B12" s="368" t="s">
        <v>189</v>
      </c>
      <c r="C12" s="369"/>
      <c r="D12" s="369"/>
      <c r="E12" s="369"/>
      <c r="F12" s="369"/>
      <c r="G12" s="370">
        <f t="shared" si="0"/>
        <v>0</v>
      </c>
      <c r="H12" s="370">
        <f t="shared" si="1"/>
        <v>0</v>
      </c>
    </row>
    <row r="13" spans="1:8" ht="24" customHeight="1">
      <c r="A13" s="367" t="s">
        <v>493</v>
      </c>
      <c r="B13" s="368" t="s">
        <v>963</v>
      </c>
      <c r="C13" s="369"/>
      <c r="D13" s="369"/>
      <c r="E13" s="369"/>
      <c r="F13" s="369"/>
      <c r="G13" s="370">
        <f t="shared" si="0"/>
        <v>0</v>
      </c>
      <c r="H13" s="370">
        <f t="shared" si="1"/>
        <v>0</v>
      </c>
    </row>
    <row r="14" spans="1:8" ht="24" customHeight="1">
      <c r="A14" s="367">
        <v>9</v>
      </c>
      <c r="B14" s="368" t="s">
        <v>121</v>
      </c>
      <c r="C14" s="369"/>
      <c r="D14" s="369"/>
      <c r="E14" s="369"/>
      <c r="F14" s="369"/>
      <c r="G14" s="370">
        <f t="shared" si="0"/>
        <v>0</v>
      </c>
      <c r="H14" s="370">
        <f t="shared" si="1"/>
        <v>0</v>
      </c>
    </row>
    <row r="15" spans="1:8" ht="24" customHeight="1">
      <c r="A15" s="367">
        <v>10</v>
      </c>
      <c r="B15" s="368" t="s">
        <v>329</v>
      </c>
      <c r="C15" s="369"/>
      <c r="D15" s="369"/>
      <c r="E15" s="369"/>
      <c r="F15" s="369"/>
      <c r="G15" s="370">
        <f t="shared" si="0"/>
        <v>0</v>
      </c>
      <c r="H15" s="370">
        <f t="shared" si="1"/>
        <v>0</v>
      </c>
    </row>
    <row r="16" spans="1:8" ht="24" customHeight="1">
      <c r="A16" s="367" t="s">
        <v>68</v>
      </c>
      <c r="B16" s="368" t="s">
        <v>201</v>
      </c>
      <c r="C16" s="369"/>
      <c r="D16" s="369"/>
      <c r="E16" s="369"/>
      <c r="F16" s="369"/>
      <c r="G16" s="370">
        <f t="shared" si="0"/>
        <v>0</v>
      </c>
      <c r="H16" s="370">
        <f t="shared" si="1"/>
        <v>0</v>
      </c>
    </row>
    <row r="17" spans="1:8" ht="24" customHeight="1">
      <c r="A17" s="367" t="s">
        <v>192</v>
      </c>
      <c r="B17" s="368" t="s">
        <v>200</v>
      </c>
      <c r="C17" s="369"/>
      <c r="D17" s="369"/>
      <c r="E17" s="369"/>
      <c r="F17" s="369"/>
      <c r="G17" s="370">
        <f t="shared" si="0"/>
        <v>0</v>
      </c>
      <c r="H17" s="370">
        <f t="shared" si="1"/>
        <v>0</v>
      </c>
    </row>
    <row r="18" spans="1:8" ht="24" customHeight="1">
      <c r="A18" s="367" t="s">
        <v>186</v>
      </c>
      <c r="B18" s="368" t="s">
        <v>194</v>
      </c>
      <c r="C18" s="369">
        <v>3</v>
      </c>
      <c r="D18" s="369"/>
      <c r="E18" s="369"/>
      <c r="F18" s="369"/>
      <c r="G18" s="370">
        <f t="shared" si="0"/>
        <v>3</v>
      </c>
      <c r="H18" s="370">
        <f t="shared" si="1"/>
        <v>36616320</v>
      </c>
    </row>
    <row r="19" spans="1:8" ht="24" customHeight="1">
      <c r="A19" s="367" t="s">
        <v>185</v>
      </c>
      <c r="B19" s="368" t="s">
        <v>195</v>
      </c>
      <c r="C19" s="369"/>
      <c r="D19" s="369"/>
      <c r="E19" s="369"/>
      <c r="F19" s="369"/>
      <c r="G19" s="370">
        <f t="shared" si="0"/>
        <v>0</v>
      </c>
      <c r="H19" s="370">
        <f t="shared" si="1"/>
        <v>0</v>
      </c>
    </row>
    <row r="20" spans="1:8" ht="24" customHeight="1">
      <c r="A20" s="367">
        <v>11</v>
      </c>
      <c r="B20" s="368" t="s">
        <v>112</v>
      </c>
      <c r="C20" s="369"/>
      <c r="D20" s="369"/>
      <c r="E20" s="369"/>
      <c r="F20" s="369"/>
      <c r="G20" s="370">
        <f t="shared" si="0"/>
        <v>0</v>
      </c>
      <c r="H20" s="370">
        <f t="shared" si="1"/>
        <v>0</v>
      </c>
    </row>
    <row r="21" spans="1:8" ht="24" customHeight="1">
      <c r="A21" s="367" t="s">
        <v>190</v>
      </c>
      <c r="B21" s="368" t="s">
        <v>197</v>
      </c>
      <c r="C21" s="369"/>
      <c r="D21" s="369"/>
      <c r="E21" s="369"/>
      <c r="F21" s="369"/>
      <c r="G21" s="370">
        <f t="shared" si="0"/>
        <v>0</v>
      </c>
      <c r="H21" s="370">
        <f t="shared" si="1"/>
        <v>0</v>
      </c>
    </row>
    <row r="22" spans="1:8" ht="24" customHeight="1">
      <c r="A22" s="367" t="s">
        <v>71</v>
      </c>
      <c r="B22" s="368" t="s">
        <v>72</v>
      </c>
      <c r="C22" s="369"/>
      <c r="D22" s="369"/>
      <c r="E22" s="369"/>
      <c r="F22" s="369"/>
      <c r="G22" s="370">
        <f t="shared" si="0"/>
        <v>0</v>
      </c>
      <c r="H22" s="370">
        <f t="shared" si="1"/>
        <v>0</v>
      </c>
    </row>
    <row r="23" spans="1:8" ht="24" customHeight="1">
      <c r="A23" s="367" t="s">
        <v>193</v>
      </c>
      <c r="B23" s="368" t="s">
        <v>196</v>
      </c>
      <c r="C23" s="369"/>
      <c r="D23" s="369"/>
      <c r="E23" s="369"/>
      <c r="F23" s="369"/>
      <c r="G23" s="370">
        <f t="shared" si="0"/>
        <v>0</v>
      </c>
      <c r="H23" s="370">
        <f t="shared" si="1"/>
        <v>0</v>
      </c>
    </row>
    <row r="24" spans="1:8" ht="24" customHeight="1">
      <c r="A24" s="367" t="s">
        <v>352</v>
      </c>
      <c r="B24" s="368" t="s">
        <v>139</v>
      </c>
      <c r="C24" s="369"/>
      <c r="D24" s="369"/>
      <c r="E24" s="369"/>
      <c r="F24" s="369"/>
      <c r="G24" s="370">
        <f t="shared" si="0"/>
        <v>0</v>
      </c>
      <c r="H24" s="370">
        <f t="shared" si="1"/>
        <v>0</v>
      </c>
    </row>
    <row r="25" spans="1:8" ht="24" customHeight="1">
      <c r="A25" s="367">
        <v>12</v>
      </c>
      <c r="B25" s="368" t="s">
        <v>87</v>
      </c>
      <c r="C25" s="369"/>
      <c r="D25" s="369"/>
      <c r="E25" s="369"/>
      <c r="F25" s="369"/>
      <c r="G25" s="370">
        <f t="shared" si="0"/>
        <v>0</v>
      </c>
      <c r="H25" s="370">
        <f t="shared" si="1"/>
        <v>0</v>
      </c>
    </row>
    <row r="26" spans="1:8" ht="24" customHeight="1">
      <c r="A26" s="367" t="s">
        <v>191</v>
      </c>
      <c r="B26" s="372" t="s">
        <v>75</v>
      </c>
      <c r="C26" s="369">
        <v>25</v>
      </c>
      <c r="D26" s="369">
        <v>40</v>
      </c>
      <c r="E26" s="369">
        <v>15</v>
      </c>
      <c r="F26" s="369">
        <v>5</v>
      </c>
      <c r="G26" s="370">
        <f t="shared" si="0"/>
        <v>85</v>
      </c>
      <c r="H26" s="370">
        <f t="shared" si="1"/>
        <v>841089600</v>
      </c>
    </row>
    <row r="27" spans="1:8" ht="24" customHeight="1">
      <c r="A27" s="367">
        <v>13</v>
      </c>
      <c r="B27" s="368" t="s">
        <v>199</v>
      </c>
      <c r="C27" s="369"/>
      <c r="D27" s="369"/>
      <c r="E27" s="369"/>
      <c r="F27" s="369"/>
      <c r="G27" s="370">
        <f t="shared" si="0"/>
        <v>0</v>
      </c>
      <c r="H27" s="370">
        <f t="shared" si="1"/>
        <v>0</v>
      </c>
    </row>
    <row r="28" spans="1:8" ht="24" customHeight="1">
      <c r="A28" s="367" t="s">
        <v>495</v>
      </c>
      <c r="B28" s="368" t="s">
        <v>60</v>
      </c>
      <c r="C28" s="369"/>
      <c r="D28" s="369"/>
      <c r="E28" s="369"/>
      <c r="F28" s="369"/>
      <c r="G28" s="370">
        <f t="shared" si="0"/>
        <v>0</v>
      </c>
      <c r="H28" s="370">
        <f t="shared" si="1"/>
        <v>0</v>
      </c>
    </row>
    <row r="29" spans="1:8" ht="24" customHeight="1">
      <c r="A29" s="367">
        <v>14</v>
      </c>
      <c r="B29" s="368" t="s">
        <v>325</v>
      </c>
      <c r="C29" s="369"/>
      <c r="D29" s="369"/>
      <c r="E29" s="369"/>
      <c r="F29" s="369"/>
      <c r="G29" s="370">
        <f t="shared" si="0"/>
        <v>0</v>
      </c>
      <c r="H29" s="370">
        <f>C29*1017120*12+D29*829920*12+E29*639600*12+F29*374400*12</f>
        <v>0</v>
      </c>
    </row>
    <row r="30" spans="1:8" ht="24" customHeight="1">
      <c r="A30" s="367">
        <v>15</v>
      </c>
      <c r="B30" s="368" t="s">
        <v>80</v>
      </c>
      <c r="C30" s="369"/>
      <c r="D30" s="369"/>
      <c r="E30" s="369"/>
      <c r="F30" s="369"/>
      <c r="G30" s="370">
        <f t="shared" si="0"/>
        <v>0</v>
      </c>
      <c r="H30" s="370">
        <f t="shared" si="1"/>
        <v>0</v>
      </c>
    </row>
    <row r="31" spans="1:8" ht="24" customHeight="1">
      <c r="A31" s="367" t="s">
        <v>964</v>
      </c>
      <c r="B31" s="368" t="s">
        <v>965</v>
      </c>
      <c r="C31" s="369"/>
      <c r="D31" s="369"/>
      <c r="E31" s="369"/>
      <c r="F31" s="369"/>
      <c r="G31" s="370">
        <f t="shared" si="0"/>
        <v>0</v>
      </c>
      <c r="H31" s="370">
        <f t="shared" si="1"/>
        <v>0</v>
      </c>
    </row>
    <row r="32" spans="1:8" ht="24" customHeight="1">
      <c r="A32" s="367">
        <v>16</v>
      </c>
      <c r="B32" s="368" t="s">
        <v>644</v>
      </c>
      <c r="C32" s="369">
        <v>14</v>
      </c>
      <c r="D32" s="369">
        <v>2</v>
      </c>
      <c r="E32" s="369"/>
      <c r="F32" s="369"/>
      <c r="G32" s="370">
        <f t="shared" si="0"/>
        <v>16</v>
      </c>
      <c r="H32" s="370">
        <f t="shared" si="1"/>
        <v>190794240</v>
      </c>
    </row>
    <row r="33" spans="1:8" ht="24" customHeight="1">
      <c r="A33" s="367">
        <v>17</v>
      </c>
      <c r="B33" s="368" t="s">
        <v>321</v>
      </c>
      <c r="C33" s="369">
        <v>10</v>
      </c>
      <c r="D33" s="369">
        <v>10</v>
      </c>
      <c r="E33" s="369"/>
      <c r="F33" s="369"/>
      <c r="G33" s="370">
        <f t="shared" si="0"/>
        <v>20</v>
      </c>
      <c r="H33" s="370">
        <f t="shared" si="1"/>
        <v>221644800</v>
      </c>
    </row>
    <row r="34" spans="1:8" ht="24" customHeight="1">
      <c r="A34" s="367">
        <v>18</v>
      </c>
      <c r="B34" s="368" t="s">
        <v>324</v>
      </c>
      <c r="C34" s="369">
        <v>5</v>
      </c>
      <c r="D34" s="369">
        <v>3</v>
      </c>
      <c r="E34" s="369">
        <v>2</v>
      </c>
      <c r="F34" s="369"/>
      <c r="G34" s="370">
        <f t="shared" si="0"/>
        <v>10</v>
      </c>
      <c r="H34" s="370">
        <f t="shared" si="1"/>
        <v>106254720</v>
      </c>
    </row>
    <row r="35" spans="1:8" ht="24" customHeight="1">
      <c r="A35" s="367">
        <v>19</v>
      </c>
      <c r="B35" s="368" t="s">
        <v>97</v>
      </c>
      <c r="C35" s="369">
        <v>3</v>
      </c>
      <c r="D35" s="369">
        <v>7</v>
      </c>
      <c r="E35" s="369">
        <v>5</v>
      </c>
      <c r="F35" s="369"/>
      <c r="G35" s="370">
        <f t="shared" si="0"/>
        <v>15</v>
      </c>
      <c r="H35" s="370">
        <f t="shared" si="1"/>
        <v>144705600</v>
      </c>
    </row>
    <row r="36" spans="1:8" ht="24" customHeight="1">
      <c r="A36" s="367">
        <v>20</v>
      </c>
      <c r="B36" s="368" t="s">
        <v>966</v>
      </c>
      <c r="C36" s="369">
        <v>30</v>
      </c>
      <c r="D36" s="369"/>
      <c r="E36" s="369"/>
      <c r="F36" s="369"/>
      <c r="G36" s="370">
        <f t="shared" si="0"/>
        <v>30</v>
      </c>
      <c r="H36" s="370">
        <f t="shared" si="1"/>
        <v>366163200</v>
      </c>
    </row>
    <row r="37" spans="1:8" ht="24" customHeight="1">
      <c r="A37" s="367">
        <v>21</v>
      </c>
      <c r="B37" s="368" t="s">
        <v>86</v>
      </c>
      <c r="C37" s="369">
        <v>5</v>
      </c>
      <c r="D37" s="369">
        <v>2</v>
      </c>
      <c r="E37" s="369">
        <v>2</v>
      </c>
      <c r="F37" s="369">
        <v>5</v>
      </c>
      <c r="G37" s="370">
        <f t="shared" si="0"/>
        <v>14</v>
      </c>
      <c r="H37" s="370">
        <f t="shared" si="1"/>
        <v>118759680</v>
      </c>
    </row>
    <row r="38" spans="1:8" ht="24" customHeight="1">
      <c r="A38" s="367">
        <v>22</v>
      </c>
      <c r="B38" s="368" t="s">
        <v>327</v>
      </c>
      <c r="C38" s="369">
        <v>10</v>
      </c>
      <c r="D38" s="369">
        <v>40</v>
      </c>
      <c r="E38" s="369"/>
      <c r="F38" s="369"/>
      <c r="G38" s="370">
        <f t="shared" si="0"/>
        <v>50</v>
      </c>
      <c r="H38" s="370">
        <f t="shared" si="1"/>
        <v>520416000</v>
      </c>
    </row>
    <row r="39" spans="1:8" ht="24" customHeight="1">
      <c r="A39" s="367" t="s">
        <v>471</v>
      </c>
      <c r="B39" s="368" t="s">
        <v>583</v>
      </c>
      <c r="C39" s="369"/>
      <c r="D39" s="369"/>
      <c r="E39" s="369"/>
      <c r="F39" s="369"/>
      <c r="G39" s="370">
        <f t="shared" si="0"/>
        <v>0</v>
      </c>
      <c r="H39" s="370">
        <f>C39*1017120*12+D39*829920*12+E39*639600*12+F39*374400*12</f>
        <v>0</v>
      </c>
    </row>
    <row r="40" spans="1:8" ht="24" customHeight="1">
      <c r="A40" s="367" t="s">
        <v>582</v>
      </c>
      <c r="B40" s="368" t="s">
        <v>533</v>
      </c>
      <c r="C40" s="369"/>
      <c r="D40" s="369"/>
      <c r="E40" s="369"/>
      <c r="F40" s="369"/>
      <c r="G40" s="370">
        <f t="shared" si="0"/>
        <v>0</v>
      </c>
      <c r="H40" s="370">
        <f t="shared" si="1"/>
        <v>0</v>
      </c>
    </row>
    <row r="41" spans="1:8" ht="24" customHeight="1">
      <c r="A41" s="367">
        <v>23</v>
      </c>
      <c r="B41" s="368" t="s">
        <v>328</v>
      </c>
      <c r="C41" s="369"/>
      <c r="D41" s="369">
        <v>17</v>
      </c>
      <c r="E41" s="369"/>
      <c r="F41" s="369"/>
      <c r="G41" s="370">
        <f t="shared" si="0"/>
        <v>17</v>
      </c>
      <c r="H41" s="370">
        <f t="shared" si="1"/>
        <v>169303680</v>
      </c>
    </row>
    <row r="42" spans="1:8" ht="24" customHeight="1">
      <c r="A42" s="367"/>
      <c r="B42" s="368" t="s">
        <v>1158</v>
      </c>
      <c r="C42" s="369">
        <v>6</v>
      </c>
      <c r="D42" s="369">
        <v>3</v>
      </c>
      <c r="E42" s="369">
        <v>2</v>
      </c>
      <c r="F42" s="369">
        <v>2</v>
      </c>
      <c r="G42" s="370">
        <f t="shared" si="0"/>
        <v>13</v>
      </c>
      <c r="H42" s="370">
        <f t="shared" si="1"/>
        <v>127445760</v>
      </c>
    </row>
    <row r="43" spans="1:8" ht="24" customHeight="1">
      <c r="A43" s="367">
        <v>24</v>
      </c>
      <c r="B43" s="368" t="s">
        <v>198</v>
      </c>
      <c r="C43" s="369"/>
      <c r="D43" s="369"/>
      <c r="E43" s="369"/>
      <c r="F43" s="369"/>
      <c r="G43" s="370">
        <f t="shared" si="0"/>
        <v>0</v>
      </c>
      <c r="H43" s="370">
        <f t="shared" si="1"/>
        <v>0</v>
      </c>
    </row>
    <row r="44" spans="1:8" ht="24" customHeight="1">
      <c r="A44" s="367">
        <v>25</v>
      </c>
      <c r="B44" s="368" t="s">
        <v>326</v>
      </c>
      <c r="C44" s="369">
        <v>8</v>
      </c>
      <c r="D44" s="369">
        <v>4</v>
      </c>
      <c r="E44" s="369"/>
      <c r="F44" s="369">
        <v>5</v>
      </c>
      <c r="G44" s="370">
        <f t="shared" si="0"/>
        <v>17</v>
      </c>
      <c r="H44" s="370">
        <f t="shared" si="1"/>
        <v>159943680</v>
      </c>
    </row>
    <row r="45" spans="1:8" ht="24" customHeight="1">
      <c r="A45" s="367">
        <v>26</v>
      </c>
      <c r="B45" s="368" t="s">
        <v>331</v>
      </c>
      <c r="C45" s="369">
        <v>20</v>
      </c>
      <c r="D45" s="369">
        <v>15</v>
      </c>
      <c r="E45" s="369"/>
      <c r="F45" s="369">
        <v>15</v>
      </c>
      <c r="G45" s="370">
        <f t="shared" si="0"/>
        <v>50</v>
      </c>
      <c r="H45" s="370">
        <f t="shared" si="1"/>
        <v>460886400</v>
      </c>
    </row>
    <row r="46" spans="1:8" ht="24" customHeight="1">
      <c r="A46" s="367">
        <v>27</v>
      </c>
      <c r="B46" s="368" t="s">
        <v>85</v>
      </c>
      <c r="C46" s="369"/>
      <c r="D46" s="369">
        <v>1</v>
      </c>
      <c r="E46" s="369"/>
      <c r="F46" s="369"/>
      <c r="G46" s="370">
        <f t="shared" si="0"/>
        <v>1</v>
      </c>
      <c r="H46" s="370">
        <f t="shared" si="1"/>
        <v>9959040</v>
      </c>
    </row>
    <row r="47" spans="1:8" ht="24" customHeight="1">
      <c r="A47" s="367">
        <v>28</v>
      </c>
      <c r="B47" s="368" t="s">
        <v>81</v>
      </c>
      <c r="C47" s="369"/>
      <c r="D47" s="369"/>
      <c r="E47" s="369"/>
      <c r="F47" s="369"/>
      <c r="G47" s="370">
        <f t="shared" si="0"/>
        <v>0</v>
      </c>
      <c r="H47" s="370">
        <f>C47*1017120*12+D47*829920*12+E47*639600*12+F47*374400*12</f>
        <v>0</v>
      </c>
    </row>
    <row r="48" spans="1:8" ht="24" customHeight="1">
      <c r="A48" s="367">
        <v>29</v>
      </c>
      <c r="B48" s="368" t="s">
        <v>390</v>
      </c>
      <c r="C48" s="369">
        <v>1</v>
      </c>
      <c r="D48" s="369"/>
      <c r="E48" s="369"/>
      <c r="F48" s="369"/>
      <c r="G48" s="370">
        <f t="shared" si="0"/>
        <v>1</v>
      </c>
      <c r="H48" s="370">
        <f>C48*1017120*12+D48*829920*12+E48*639600*12+F48*374400*12</f>
        <v>12205440</v>
      </c>
    </row>
    <row r="49" spans="1:8" ht="24" customHeight="1">
      <c r="A49" s="367">
        <v>30</v>
      </c>
      <c r="B49" s="368" t="s">
        <v>318</v>
      </c>
      <c r="C49" s="369">
        <v>5</v>
      </c>
      <c r="D49" s="369">
        <v>4</v>
      </c>
      <c r="E49" s="369">
        <v>4</v>
      </c>
      <c r="F49" s="369"/>
      <c r="G49" s="370">
        <f t="shared" si="0"/>
        <v>13</v>
      </c>
      <c r="H49" s="370">
        <f t="shared" si="1"/>
        <v>131564160</v>
      </c>
    </row>
    <row r="50" spans="1:8" ht="24" customHeight="1">
      <c r="A50" s="367">
        <v>31</v>
      </c>
      <c r="B50" s="368" t="s">
        <v>967</v>
      </c>
      <c r="C50" s="369"/>
      <c r="D50" s="369"/>
      <c r="E50" s="369">
        <v>10</v>
      </c>
      <c r="F50" s="369">
        <v>5</v>
      </c>
      <c r="G50" s="370">
        <f t="shared" si="0"/>
        <v>15</v>
      </c>
      <c r="H50" s="370">
        <f t="shared" si="1"/>
        <v>99216000</v>
      </c>
    </row>
    <row r="51" spans="1:8" ht="24" customHeight="1">
      <c r="A51" s="367">
        <v>32</v>
      </c>
      <c r="B51" s="368" t="s">
        <v>77</v>
      </c>
      <c r="C51" s="369"/>
      <c r="D51" s="369"/>
      <c r="E51" s="369"/>
      <c r="F51" s="369"/>
      <c r="G51" s="370">
        <f t="shared" si="0"/>
        <v>0</v>
      </c>
      <c r="H51" s="370">
        <f t="shared" si="1"/>
        <v>0</v>
      </c>
    </row>
    <row r="52" spans="1:8" ht="24" customHeight="1">
      <c r="A52" s="367">
        <v>33</v>
      </c>
      <c r="B52" s="368" t="s">
        <v>79</v>
      </c>
      <c r="C52" s="369">
        <v>3</v>
      </c>
      <c r="D52" s="369"/>
      <c r="E52" s="369"/>
      <c r="F52" s="369"/>
      <c r="G52" s="370">
        <f t="shared" si="0"/>
        <v>3</v>
      </c>
      <c r="H52" s="370">
        <f t="shared" si="1"/>
        <v>36616320</v>
      </c>
    </row>
    <row r="53" spans="1:8" ht="24" customHeight="1">
      <c r="A53" s="367">
        <v>34</v>
      </c>
      <c r="B53" s="368" t="s">
        <v>94</v>
      </c>
      <c r="C53" s="369"/>
      <c r="D53" s="369"/>
      <c r="E53" s="369"/>
      <c r="F53" s="369"/>
      <c r="G53" s="370">
        <f t="shared" si="0"/>
        <v>0</v>
      </c>
      <c r="H53" s="370">
        <f t="shared" si="1"/>
        <v>0</v>
      </c>
    </row>
    <row r="54" spans="1:8" ht="24" customHeight="1">
      <c r="A54" s="367">
        <v>35</v>
      </c>
      <c r="B54" s="717" t="s">
        <v>316</v>
      </c>
      <c r="C54" s="369"/>
      <c r="D54" s="369"/>
      <c r="E54" s="369"/>
      <c r="F54" s="369"/>
      <c r="G54" s="370">
        <f t="shared" si="0"/>
        <v>0</v>
      </c>
      <c r="H54" s="370">
        <f t="shared" si="1"/>
        <v>0</v>
      </c>
    </row>
    <row r="55" spans="1:8" ht="24" customHeight="1">
      <c r="A55" s="367">
        <v>36</v>
      </c>
      <c r="B55" s="376" t="s">
        <v>438</v>
      </c>
      <c r="C55" s="369"/>
      <c r="D55" s="369">
        <v>3</v>
      </c>
      <c r="E55" s="369">
        <v>1</v>
      </c>
      <c r="F55" s="369"/>
      <c r="G55" s="370">
        <f t="shared" si="0"/>
        <v>4</v>
      </c>
      <c r="H55" s="370">
        <f t="shared" si="1"/>
        <v>37552320</v>
      </c>
    </row>
    <row r="56" spans="1:8" ht="24" customHeight="1">
      <c r="A56" s="367">
        <v>37</v>
      </c>
      <c r="B56" s="376" t="s">
        <v>330</v>
      </c>
      <c r="C56" s="369"/>
      <c r="D56" s="369"/>
      <c r="E56" s="369"/>
      <c r="F56" s="369"/>
      <c r="G56" s="370">
        <f t="shared" si="0"/>
        <v>0</v>
      </c>
      <c r="H56" s="370">
        <f t="shared" si="1"/>
        <v>0</v>
      </c>
    </row>
    <row r="57" spans="1:8" ht="24" customHeight="1">
      <c r="A57" s="367">
        <v>38</v>
      </c>
      <c r="B57" s="376" t="s">
        <v>389</v>
      </c>
      <c r="C57" s="369">
        <v>3</v>
      </c>
      <c r="D57" s="369">
        <v>2</v>
      </c>
      <c r="E57" s="369"/>
      <c r="F57" s="369"/>
      <c r="G57" s="370">
        <f t="shared" si="0"/>
        <v>5</v>
      </c>
      <c r="H57" s="370">
        <f t="shared" si="1"/>
        <v>56534400</v>
      </c>
    </row>
    <row r="58" spans="1:8" ht="24" customHeight="1">
      <c r="A58" s="367">
        <v>39</v>
      </c>
      <c r="B58" s="376" t="s">
        <v>435</v>
      </c>
      <c r="C58" s="369"/>
      <c r="D58" s="369"/>
      <c r="E58" s="369"/>
      <c r="F58" s="369"/>
      <c r="G58" s="370">
        <f t="shared" si="0"/>
        <v>0</v>
      </c>
      <c r="H58" s="370">
        <f t="shared" si="1"/>
        <v>0</v>
      </c>
    </row>
    <row r="59" spans="1:8" ht="24" customHeight="1">
      <c r="A59" s="367">
        <v>40</v>
      </c>
      <c r="B59" s="376" t="s">
        <v>968</v>
      </c>
      <c r="C59" s="369"/>
      <c r="D59" s="369"/>
      <c r="E59" s="369">
        <v>75</v>
      </c>
      <c r="F59" s="369"/>
      <c r="G59" s="370">
        <f>C59+D59+E59+F59</f>
        <v>75</v>
      </c>
      <c r="H59" s="370">
        <f t="shared" si="1"/>
        <v>575640000</v>
      </c>
    </row>
    <row r="60" spans="1:8" ht="24" customHeight="1">
      <c r="A60" s="367">
        <v>41</v>
      </c>
      <c r="B60" s="368" t="s">
        <v>969</v>
      </c>
      <c r="C60" s="369"/>
      <c r="D60" s="369"/>
      <c r="E60" s="369"/>
      <c r="F60" s="369"/>
      <c r="G60" s="370">
        <f t="shared" si="0"/>
        <v>0</v>
      </c>
      <c r="H60" s="370">
        <f t="shared" si="1"/>
        <v>0</v>
      </c>
    </row>
    <row r="61" spans="1:8" ht="24" customHeight="1">
      <c r="A61" s="367">
        <v>42</v>
      </c>
      <c r="B61" s="368" t="s">
        <v>534</v>
      </c>
      <c r="C61" s="369"/>
      <c r="D61" s="369"/>
      <c r="E61" s="369"/>
      <c r="F61" s="369"/>
      <c r="G61" s="370">
        <f t="shared" si="0"/>
        <v>0</v>
      </c>
      <c r="H61" s="370">
        <f t="shared" si="1"/>
        <v>0</v>
      </c>
    </row>
    <row r="62" spans="1:8" ht="24" customHeight="1">
      <c r="A62" s="367">
        <v>43</v>
      </c>
      <c r="B62" s="368" t="s">
        <v>828</v>
      </c>
      <c r="C62" s="369">
        <v>3</v>
      </c>
      <c r="D62" s="369">
        <v>2</v>
      </c>
      <c r="E62" s="369">
        <v>2</v>
      </c>
      <c r="F62" s="369"/>
      <c r="G62" s="370">
        <f>C62+D62+E62+F62</f>
        <v>7</v>
      </c>
      <c r="H62" s="370">
        <f t="shared" si="1"/>
        <v>71884800</v>
      </c>
    </row>
    <row r="63" spans="1:8" ht="24" customHeight="1">
      <c r="A63" s="367">
        <v>44</v>
      </c>
      <c r="B63" s="368" t="s">
        <v>970</v>
      </c>
      <c r="C63" s="369">
        <v>10</v>
      </c>
      <c r="D63" s="369"/>
      <c r="E63" s="369"/>
      <c r="F63" s="369"/>
      <c r="G63" s="370">
        <f t="shared" si="0"/>
        <v>10</v>
      </c>
      <c r="H63" s="370">
        <f t="shared" si="1"/>
        <v>122054400</v>
      </c>
    </row>
    <row r="64" spans="1:8" ht="24" customHeight="1">
      <c r="A64" s="367">
        <v>55</v>
      </c>
      <c r="B64" s="715" t="s">
        <v>971</v>
      </c>
      <c r="C64" s="369">
        <f>SUM(C2:C63)</f>
        <v>171</v>
      </c>
      <c r="D64" s="369">
        <f>SUM(D2:D63)</f>
        <v>159</v>
      </c>
      <c r="E64" s="369">
        <f>SUM(E2:E63)</f>
        <v>118</v>
      </c>
      <c r="F64" s="369">
        <f>SUM(F2:F63)</f>
        <v>38</v>
      </c>
      <c r="G64" s="370">
        <f>SUM(G2:G63)</f>
        <v>486</v>
      </c>
      <c r="H64" s="370">
        <f>SUM(H3:H63)</f>
        <v>4747017600</v>
      </c>
    </row>
  </sheetData>
  <pageMargins left="0.7" right="0.7" top="0.75" bottom="0.75" header="0.3" footer="0.3"/>
  <pageSetup scale="45" orientation="portrait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zoomScale="60" workbookViewId="0">
      <selection activeCell="K39" sqref="K39"/>
    </sheetView>
  </sheetViews>
  <sheetFormatPr defaultRowHeight="12.75"/>
  <cols>
    <col min="1" max="1" width="11.83203125" bestFit="1" customWidth="1"/>
    <col min="2" max="2" width="63.83203125" bestFit="1" customWidth="1"/>
    <col min="3" max="3" width="24.83203125" bestFit="1" customWidth="1"/>
    <col min="4" max="4" width="26.6640625" bestFit="1" customWidth="1"/>
    <col min="5" max="5" width="23.6640625" bestFit="1" customWidth="1"/>
  </cols>
  <sheetData>
    <row r="1" spans="1:5" ht="12.95" customHeight="1">
      <c r="A1" s="315"/>
      <c r="B1" s="315"/>
      <c r="C1" s="315"/>
      <c r="D1" s="316"/>
      <c r="E1" s="317"/>
    </row>
    <row r="2" spans="1:5" ht="12.95" customHeight="1">
      <c r="A2" s="315"/>
      <c r="B2" s="315"/>
      <c r="C2" s="318">
        <v>2013</v>
      </c>
      <c r="D2" s="319">
        <v>2014</v>
      </c>
      <c r="E2" s="320" t="s">
        <v>56</v>
      </c>
    </row>
    <row r="3" spans="1:5" ht="12.95" customHeight="1">
      <c r="A3" s="315"/>
      <c r="B3" s="321" t="s">
        <v>938</v>
      </c>
      <c r="C3" s="318"/>
      <c r="D3" s="322">
        <v>30464404054</v>
      </c>
      <c r="E3" s="320">
        <f>D3-C3</f>
        <v>30464404054</v>
      </c>
    </row>
    <row r="4" spans="1:5" ht="12.95" customHeight="1">
      <c r="A4" s="318" t="s">
        <v>616</v>
      </c>
      <c r="B4" s="318" t="s">
        <v>658</v>
      </c>
      <c r="C4" s="318"/>
      <c r="D4" s="319"/>
      <c r="E4" s="320"/>
    </row>
    <row r="5" spans="1:5" ht="12.95" customHeight="1">
      <c r="A5" s="318" t="s">
        <v>659</v>
      </c>
      <c r="B5" s="323" t="s">
        <v>939</v>
      </c>
      <c r="C5" s="323" t="s">
        <v>4</v>
      </c>
      <c r="D5" s="325"/>
      <c r="E5" s="326"/>
    </row>
    <row r="6" spans="1:5" ht="12.95" customHeight="1">
      <c r="A6" s="324" t="s">
        <v>661</v>
      </c>
      <c r="B6" s="324" t="s">
        <v>662</v>
      </c>
      <c r="C6" s="326">
        <v>8765618418</v>
      </c>
      <c r="D6" s="327">
        <v>8785053332</v>
      </c>
      <c r="E6" s="326">
        <f>D6-C6</f>
        <v>19434914</v>
      </c>
    </row>
    <row r="7" spans="1:5" ht="12.95" customHeight="1">
      <c r="A7" s="328" t="s">
        <v>663</v>
      </c>
      <c r="B7" s="328" t="s">
        <v>664</v>
      </c>
      <c r="C7" s="329">
        <v>22241882376</v>
      </c>
      <c r="D7" s="330">
        <v>36251655068</v>
      </c>
      <c r="E7" s="326">
        <f t="shared" ref="E7:E72" si="0">D7-C7</f>
        <v>14009772692</v>
      </c>
    </row>
    <row r="8" spans="1:5" ht="12.95" customHeight="1">
      <c r="A8" s="328" t="s">
        <v>665</v>
      </c>
      <c r="B8" s="328" t="s">
        <v>666</v>
      </c>
      <c r="C8" s="331">
        <v>8746458128</v>
      </c>
      <c r="D8" s="332">
        <v>10749696774</v>
      </c>
      <c r="E8" s="326">
        <f t="shared" si="0"/>
        <v>2003238646</v>
      </c>
    </row>
    <row r="9" spans="1:5" ht="12.95" customHeight="1">
      <c r="A9" s="328"/>
      <c r="B9" s="333" t="s">
        <v>667</v>
      </c>
      <c r="C9" s="334">
        <f>SUM(C6:C8)</f>
        <v>39753958922</v>
      </c>
      <c r="D9" s="335">
        <f>SUM(D6:D8)</f>
        <v>55786405174</v>
      </c>
      <c r="E9" s="336">
        <f t="shared" si="0"/>
        <v>16032446252</v>
      </c>
    </row>
    <row r="10" spans="1:5" ht="12.95" customHeight="1">
      <c r="A10" s="337" t="s">
        <v>668</v>
      </c>
      <c r="B10" s="333" t="s">
        <v>669</v>
      </c>
      <c r="C10" s="338"/>
      <c r="D10" s="339"/>
      <c r="E10" s="326">
        <f t="shared" si="0"/>
        <v>0</v>
      </c>
    </row>
    <row r="11" spans="1:5" ht="12.95" customHeight="1">
      <c r="A11" s="324" t="s">
        <v>670</v>
      </c>
      <c r="B11" s="324" t="s">
        <v>671</v>
      </c>
      <c r="C11" s="331">
        <v>2841455550</v>
      </c>
      <c r="D11" s="332">
        <v>2953443776</v>
      </c>
      <c r="E11" s="326">
        <f t="shared" si="0"/>
        <v>111988226</v>
      </c>
    </row>
    <row r="12" spans="1:5" ht="12.95" customHeight="1">
      <c r="A12" s="324"/>
      <c r="B12" s="323" t="s">
        <v>667</v>
      </c>
      <c r="C12" s="334">
        <f>SUM(C11)</f>
        <v>2841455550</v>
      </c>
      <c r="D12" s="335">
        <f>SUM(D11)</f>
        <v>2953443776</v>
      </c>
      <c r="E12" s="326">
        <f t="shared" si="0"/>
        <v>111988226</v>
      </c>
    </row>
    <row r="13" spans="1:5" ht="12.95" customHeight="1">
      <c r="A13" s="318" t="s">
        <v>672</v>
      </c>
      <c r="B13" s="323" t="s">
        <v>673</v>
      </c>
      <c r="C13" s="338"/>
      <c r="D13" s="339"/>
      <c r="E13" s="326">
        <f t="shared" si="0"/>
        <v>0</v>
      </c>
    </row>
    <row r="14" spans="1:5" ht="12.95" customHeight="1">
      <c r="A14" s="324" t="s">
        <v>674</v>
      </c>
      <c r="B14" s="324" t="s">
        <v>675</v>
      </c>
      <c r="C14" s="329">
        <v>74976315746</v>
      </c>
      <c r="D14" s="330">
        <v>78388962042</v>
      </c>
      <c r="E14" s="326">
        <f t="shared" si="0"/>
        <v>3412646296</v>
      </c>
    </row>
    <row r="15" spans="1:5" ht="12.95" customHeight="1">
      <c r="A15" s="328" t="s">
        <v>676</v>
      </c>
      <c r="B15" s="328" t="s">
        <v>677</v>
      </c>
      <c r="C15" s="329">
        <v>1200000000</v>
      </c>
      <c r="D15" s="330">
        <v>1200000000</v>
      </c>
      <c r="E15" s="326">
        <f t="shared" si="0"/>
        <v>0</v>
      </c>
    </row>
    <row r="16" spans="1:5" ht="12.95" customHeight="1">
      <c r="A16" s="328" t="s">
        <v>678</v>
      </c>
      <c r="B16" s="328" t="s">
        <v>679</v>
      </c>
      <c r="C16" s="329">
        <v>6385980000</v>
      </c>
      <c r="D16" s="330">
        <v>13648102000</v>
      </c>
      <c r="E16" s="326">
        <f t="shared" si="0"/>
        <v>7262122000</v>
      </c>
    </row>
    <row r="17" spans="1:5" ht="12.95" customHeight="1">
      <c r="A17" s="324" t="s">
        <v>680</v>
      </c>
      <c r="B17" s="324" t="s">
        <v>681</v>
      </c>
      <c r="C17" s="331">
        <v>626988780</v>
      </c>
      <c r="D17" s="340">
        <v>626988780</v>
      </c>
      <c r="E17" s="326">
        <f t="shared" si="0"/>
        <v>0</v>
      </c>
    </row>
    <row r="18" spans="1:5" ht="12.95" customHeight="1">
      <c r="A18" s="324"/>
      <c r="B18" s="323" t="s">
        <v>667</v>
      </c>
      <c r="C18" s="334">
        <f>SUM(C14:C17)</f>
        <v>83189284526</v>
      </c>
      <c r="D18" s="335">
        <f>SUM(D14:D17)</f>
        <v>93864052822</v>
      </c>
      <c r="E18" s="341">
        <f t="shared" si="0"/>
        <v>10674768296</v>
      </c>
    </row>
    <row r="19" spans="1:5" ht="12.95" customHeight="1">
      <c r="A19" s="318" t="s">
        <v>682</v>
      </c>
      <c r="B19" s="323" t="s">
        <v>683</v>
      </c>
      <c r="C19" s="338"/>
      <c r="D19" s="339"/>
      <c r="E19" s="326">
        <f t="shared" si="0"/>
        <v>0</v>
      </c>
    </row>
    <row r="20" spans="1:5" ht="12.95" customHeight="1">
      <c r="A20" s="318" t="s">
        <v>684</v>
      </c>
      <c r="B20" s="324" t="s">
        <v>940</v>
      </c>
      <c r="C20" s="338"/>
      <c r="D20" s="330">
        <v>3526828400</v>
      </c>
      <c r="E20" s="326">
        <f t="shared" si="0"/>
        <v>3526828400</v>
      </c>
    </row>
    <row r="21" spans="1:5" ht="12.95" customHeight="1">
      <c r="A21" s="328" t="s">
        <v>686</v>
      </c>
      <c r="B21" s="328" t="s">
        <v>941</v>
      </c>
      <c r="C21" s="326">
        <v>1350000000</v>
      </c>
      <c r="D21" s="327">
        <v>1850000000</v>
      </c>
      <c r="E21" s="326">
        <f t="shared" si="0"/>
        <v>500000000</v>
      </c>
    </row>
    <row r="22" spans="1:5" ht="12.95" customHeight="1">
      <c r="A22" s="328" t="s">
        <v>688</v>
      </c>
      <c r="B22" s="328" t="s">
        <v>689</v>
      </c>
      <c r="C22" s="329">
        <v>10004187529</v>
      </c>
      <c r="D22" s="330">
        <v>10104187529</v>
      </c>
      <c r="E22" s="326">
        <f t="shared" si="0"/>
        <v>100000000</v>
      </c>
    </row>
    <row r="23" spans="1:5" ht="12.95" customHeight="1">
      <c r="A23" s="328" t="s">
        <v>690</v>
      </c>
      <c r="B23" s="328" t="s">
        <v>691</v>
      </c>
      <c r="C23" s="329">
        <v>3500000000</v>
      </c>
      <c r="D23" s="330">
        <v>4000000000</v>
      </c>
      <c r="E23" s="326">
        <f t="shared" si="0"/>
        <v>500000000</v>
      </c>
    </row>
    <row r="24" spans="1:5" ht="12.95" customHeight="1">
      <c r="A24" s="328" t="s">
        <v>692</v>
      </c>
      <c r="B24" s="328" t="s">
        <v>693</v>
      </c>
      <c r="C24" s="326">
        <v>4152827800</v>
      </c>
      <c r="D24" s="327">
        <v>10800000000</v>
      </c>
      <c r="E24" s="326">
        <f t="shared" si="0"/>
        <v>6647172200</v>
      </c>
    </row>
    <row r="25" spans="1:5" ht="12.95" customHeight="1">
      <c r="A25" s="324" t="s">
        <v>694</v>
      </c>
      <c r="B25" s="324" t="s">
        <v>695</v>
      </c>
      <c r="C25" s="329">
        <v>20393927475</v>
      </c>
      <c r="D25" s="330">
        <v>21346854976</v>
      </c>
      <c r="E25" s="326">
        <f t="shared" si="0"/>
        <v>952927501</v>
      </c>
    </row>
    <row r="26" spans="1:5" ht="12.95" customHeight="1">
      <c r="A26" s="324" t="s">
        <v>696</v>
      </c>
      <c r="B26" s="324" t="s">
        <v>697</v>
      </c>
      <c r="C26" s="329">
        <v>350000000</v>
      </c>
      <c r="D26" s="330">
        <v>450000000</v>
      </c>
      <c r="E26" s="326">
        <f t="shared" si="0"/>
        <v>100000000</v>
      </c>
    </row>
    <row r="27" spans="1:5" ht="12.95" customHeight="1">
      <c r="A27" s="324" t="s">
        <v>698</v>
      </c>
      <c r="B27" s="324" t="s">
        <v>942</v>
      </c>
      <c r="C27" s="326">
        <v>3127510980</v>
      </c>
      <c r="D27" s="327">
        <v>3127510980</v>
      </c>
      <c r="E27" s="326">
        <f t="shared" si="0"/>
        <v>0</v>
      </c>
    </row>
    <row r="28" spans="1:5" ht="12.95" customHeight="1">
      <c r="A28" s="324" t="s">
        <v>700</v>
      </c>
      <c r="B28" s="324" t="s">
        <v>701</v>
      </c>
      <c r="C28" s="342">
        <v>18255568</v>
      </c>
      <c r="D28" s="343">
        <v>18255568</v>
      </c>
      <c r="E28" s="326">
        <f t="shared" si="0"/>
        <v>0</v>
      </c>
    </row>
    <row r="29" spans="1:5" ht="12.95" customHeight="1">
      <c r="A29" s="344"/>
      <c r="B29" s="344" t="s">
        <v>667</v>
      </c>
      <c r="C29" s="345">
        <f>SUM(C21:C28)</f>
        <v>42896709352</v>
      </c>
      <c r="D29" s="335">
        <f>SUM(D20:D28)</f>
        <v>55223637453</v>
      </c>
      <c r="E29" s="341">
        <f t="shared" si="0"/>
        <v>12326928101</v>
      </c>
    </row>
    <row r="30" spans="1:5" ht="12.95" customHeight="1">
      <c r="A30" s="318" t="s">
        <v>702</v>
      </c>
      <c r="B30" s="323" t="s">
        <v>703</v>
      </c>
      <c r="C30" s="338"/>
      <c r="D30" s="339"/>
      <c r="E30" s="326">
        <f t="shared" si="0"/>
        <v>0</v>
      </c>
    </row>
    <row r="31" spans="1:5" ht="12.95" customHeight="1">
      <c r="A31" s="324" t="s">
        <v>704</v>
      </c>
      <c r="B31" s="324" t="s">
        <v>705</v>
      </c>
      <c r="C31" s="329">
        <v>257116829560</v>
      </c>
      <c r="D31" s="330">
        <v>282876881142</v>
      </c>
      <c r="E31" s="326">
        <f>D31-C31</f>
        <v>25760051582</v>
      </c>
    </row>
    <row r="32" spans="1:5" ht="12.95" customHeight="1">
      <c r="A32" s="324" t="s">
        <v>706</v>
      </c>
      <c r="B32" s="324" t="s">
        <v>943</v>
      </c>
      <c r="C32" s="329">
        <v>595605146</v>
      </c>
      <c r="D32" s="330">
        <v>695605146</v>
      </c>
      <c r="E32" s="326">
        <f t="shared" si="0"/>
        <v>100000000</v>
      </c>
    </row>
    <row r="33" spans="1:5" ht="12.95" customHeight="1">
      <c r="A33" s="324" t="s">
        <v>708</v>
      </c>
      <c r="B33" s="324" t="s">
        <v>709</v>
      </c>
      <c r="C33" s="329">
        <v>26517879485</v>
      </c>
      <c r="D33" s="330">
        <v>27383839801</v>
      </c>
      <c r="E33" s="326">
        <f t="shared" si="0"/>
        <v>865960316</v>
      </c>
    </row>
    <row r="34" spans="1:5" ht="12.95" customHeight="1">
      <c r="A34" s="324" t="s">
        <v>710</v>
      </c>
      <c r="B34" s="324" t="s">
        <v>711</v>
      </c>
      <c r="C34" s="317">
        <v>95292391827</v>
      </c>
      <c r="D34" s="346">
        <v>107574091391</v>
      </c>
      <c r="E34" s="326">
        <f t="shared" si="0"/>
        <v>12281699564</v>
      </c>
    </row>
    <row r="35" spans="1:5" ht="12.95" customHeight="1">
      <c r="A35" s="324" t="s">
        <v>944</v>
      </c>
      <c r="B35" s="324" t="s">
        <v>945</v>
      </c>
      <c r="C35" s="347">
        <v>0</v>
      </c>
      <c r="D35" s="348">
        <v>24000000000</v>
      </c>
      <c r="E35" s="326">
        <v>24000000000</v>
      </c>
    </row>
    <row r="36" spans="1:5" ht="12.95" customHeight="1">
      <c r="A36" s="323"/>
      <c r="B36" s="323" t="s">
        <v>667</v>
      </c>
      <c r="C36" s="334">
        <f>SUM(C31:C35)</f>
        <v>379522706018</v>
      </c>
      <c r="D36" s="335">
        <f>SUM(D31:D35)</f>
        <v>442530417480</v>
      </c>
      <c r="E36" s="341">
        <f t="shared" si="0"/>
        <v>63007711462</v>
      </c>
    </row>
    <row r="37" spans="1:5" ht="12.95" customHeight="1">
      <c r="A37" s="318" t="s">
        <v>712</v>
      </c>
      <c r="B37" s="323" t="s">
        <v>713</v>
      </c>
      <c r="C37" s="338"/>
      <c r="D37" s="339"/>
      <c r="E37" s="326">
        <f t="shared" si="0"/>
        <v>0</v>
      </c>
    </row>
    <row r="38" spans="1:5" ht="12.95" customHeight="1">
      <c r="A38" s="324" t="s">
        <v>714</v>
      </c>
      <c r="B38" s="324" t="s">
        <v>715</v>
      </c>
      <c r="C38" s="329">
        <v>582565232</v>
      </c>
      <c r="D38" s="349">
        <v>0</v>
      </c>
      <c r="E38" s="326">
        <f t="shared" si="0"/>
        <v>-582565232</v>
      </c>
    </row>
    <row r="39" spans="1:5" ht="12.95" customHeight="1">
      <c r="A39" s="324" t="s">
        <v>716</v>
      </c>
      <c r="B39" s="324" t="s">
        <v>717</v>
      </c>
      <c r="C39" s="329">
        <v>25876338638</v>
      </c>
      <c r="D39" s="330">
        <v>31283766284</v>
      </c>
      <c r="E39" s="326">
        <f t="shared" si="0"/>
        <v>5407427646</v>
      </c>
    </row>
    <row r="40" spans="1:5" ht="12.95" customHeight="1">
      <c r="A40" s="324" t="s">
        <v>718</v>
      </c>
      <c r="B40" s="324" t="s">
        <v>719</v>
      </c>
      <c r="C40" s="329">
        <v>4258016368</v>
      </c>
      <c r="D40" s="330">
        <v>5309182245</v>
      </c>
      <c r="E40" s="326">
        <f t="shared" si="0"/>
        <v>1051165877</v>
      </c>
    </row>
    <row r="41" spans="1:5" ht="12.95" customHeight="1">
      <c r="A41" s="324" t="s">
        <v>720</v>
      </c>
      <c r="B41" s="324" t="s">
        <v>721</v>
      </c>
      <c r="C41" s="329">
        <v>267668198</v>
      </c>
      <c r="D41" s="330">
        <v>413156357</v>
      </c>
      <c r="E41" s="326">
        <f t="shared" si="0"/>
        <v>145488159</v>
      </c>
    </row>
    <row r="42" spans="1:5" ht="12.95" customHeight="1">
      <c r="A42" s="324" t="s">
        <v>722</v>
      </c>
      <c r="B42" s="324" t="s">
        <v>723</v>
      </c>
      <c r="C42" s="342">
        <v>6000000000</v>
      </c>
      <c r="D42" s="343">
        <v>3390390396</v>
      </c>
      <c r="E42" s="326">
        <f t="shared" si="0"/>
        <v>-2609609604</v>
      </c>
    </row>
    <row r="43" spans="1:5" ht="12.95" customHeight="1">
      <c r="A43" s="324"/>
      <c r="B43" s="323" t="s">
        <v>667</v>
      </c>
      <c r="C43" s="334">
        <f>SUM(C38:C42)</f>
        <v>36984588436</v>
      </c>
      <c r="D43" s="335">
        <f>SUM(D38:D42)</f>
        <v>40396495282</v>
      </c>
      <c r="E43" s="341">
        <f t="shared" si="0"/>
        <v>3411906846</v>
      </c>
    </row>
    <row r="44" spans="1:5" ht="12.95" customHeight="1">
      <c r="A44" s="318" t="s">
        <v>724</v>
      </c>
      <c r="B44" s="323" t="s">
        <v>725</v>
      </c>
      <c r="C44" s="338"/>
      <c r="D44" s="339"/>
      <c r="E44" s="326">
        <f t="shared" si="0"/>
        <v>0</v>
      </c>
    </row>
    <row r="45" spans="1:5" ht="12.95" customHeight="1">
      <c r="A45" s="324" t="s">
        <v>726</v>
      </c>
      <c r="B45" s="324" t="s">
        <v>727</v>
      </c>
      <c r="C45" s="326">
        <v>0</v>
      </c>
      <c r="D45" s="327"/>
      <c r="E45" s="326">
        <f t="shared" si="0"/>
        <v>0</v>
      </c>
    </row>
    <row r="46" spans="1:5" ht="12.95" customHeight="1">
      <c r="A46" s="324" t="s">
        <v>728</v>
      </c>
      <c r="B46" s="324" t="s">
        <v>729</v>
      </c>
      <c r="C46" s="326">
        <v>0</v>
      </c>
      <c r="D46" s="327"/>
      <c r="E46" s="326">
        <f t="shared" si="0"/>
        <v>0</v>
      </c>
    </row>
    <row r="47" spans="1:5" ht="12.95" customHeight="1">
      <c r="A47" s="324" t="s">
        <v>730</v>
      </c>
      <c r="B47" s="324" t="s">
        <v>731</v>
      </c>
      <c r="C47" s="326">
        <v>20590676000</v>
      </c>
      <c r="D47" s="327">
        <v>24570036572.833302</v>
      </c>
      <c r="E47" s="326">
        <f t="shared" si="0"/>
        <v>3979360572.8333015</v>
      </c>
    </row>
    <row r="48" spans="1:5" ht="12.95" customHeight="1">
      <c r="A48" s="324"/>
      <c r="B48" s="323" t="s">
        <v>667</v>
      </c>
      <c r="C48" s="334">
        <f>SUM(C45:C47)</f>
        <v>20590676000</v>
      </c>
      <c r="D48" s="335">
        <f>SUM(D47)</f>
        <v>24570036572.833302</v>
      </c>
      <c r="E48" s="341">
        <f t="shared" si="0"/>
        <v>3979360572.8333015</v>
      </c>
    </row>
    <row r="49" spans="1:5" ht="12.95" customHeight="1">
      <c r="A49" s="318" t="s">
        <v>734</v>
      </c>
      <c r="B49" s="323" t="s">
        <v>946</v>
      </c>
      <c r="C49" s="323"/>
      <c r="D49" s="350"/>
      <c r="E49" s="326">
        <f t="shared" si="0"/>
        <v>0</v>
      </c>
    </row>
    <row r="50" spans="1:5" ht="12.95" customHeight="1">
      <c r="A50" s="324" t="s">
        <v>736</v>
      </c>
      <c r="B50" s="324" t="s">
        <v>737</v>
      </c>
      <c r="C50" s="317">
        <v>176169160</v>
      </c>
      <c r="D50" s="346">
        <v>0</v>
      </c>
      <c r="E50" s="326">
        <f t="shared" si="0"/>
        <v>-176169160</v>
      </c>
    </row>
    <row r="51" spans="1:5" ht="12.95" customHeight="1">
      <c r="A51" s="328" t="s">
        <v>738</v>
      </c>
      <c r="B51" s="328" t="s">
        <v>739</v>
      </c>
      <c r="C51" s="351">
        <v>533874000</v>
      </c>
      <c r="D51" s="327">
        <v>4131647676.833374</v>
      </c>
      <c r="E51" s="326">
        <f t="shared" si="0"/>
        <v>3597773676.833374</v>
      </c>
    </row>
    <row r="52" spans="1:5" ht="12.95" customHeight="1">
      <c r="A52" s="328" t="s">
        <v>740</v>
      </c>
      <c r="B52" s="328" t="s">
        <v>741</v>
      </c>
      <c r="C52" s="329">
        <v>1150000000</v>
      </c>
      <c r="D52" s="330">
        <v>2150000000</v>
      </c>
      <c r="E52" s="326">
        <f t="shared" si="0"/>
        <v>1000000000</v>
      </c>
    </row>
    <row r="53" spans="1:5" ht="12.95" customHeight="1">
      <c r="A53" s="328" t="s">
        <v>742</v>
      </c>
      <c r="B53" s="328" t="s">
        <v>743</v>
      </c>
      <c r="C53" s="329">
        <v>6521023518</v>
      </c>
      <c r="D53" s="330">
        <v>6521023518</v>
      </c>
      <c r="E53" s="326">
        <f t="shared" si="0"/>
        <v>0</v>
      </c>
    </row>
    <row r="54" spans="1:5" ht="12.95" customHeight="1">
      <c r="A54" s="328" t="s">
        <v>744</v>
      </c>
      <c r="B54" s="328" t="s">
        <v>745</v>
      </c>
      <c r="C54" s="329">
        <v>6004111080</v>
      </c>
      <c r="D54" s="330">
        <v>6580900360</v>
      </c>
      <c r="E54" s="326">
        <f t="shared" si="0"/>
        <v>576789280</v>
      </c>
    </row>
    <row r="55" spans="1:5" ht="12.95" customHeight="1">
      <c r="A55" s="324" t="s">
        <v>620</v>
      </c>
      <c r="B55" s="324" t="s">
        <v>733</v>
      </c>
      <c r="C55" s="342">
        <v>45000000000</v>
      </c>
      <c r="D55" s="343">
        <v>45000000000</v>
      </c>
      <c r="E55" s="326">
        <f t="shared" si="0"/>
        <v>0</v>
      </c>
    </row>
    <row r="56" spans="1:5" ht="12.95" customHeight="1">
      <c r="A56" s="333"/>
      <c r="B56" s="333" t="s">
        <v>667</v>
      </c>
      <c r="C56" s="334">
        <f>SUM(C50:C55)</f>
        <v>59385177758</v>
      </c>
      <c r="D56" s="335">
        <f>SUM(D50:D55)</f>
        <v>64383571554.833374</v>
      </c>
      <c r="E56" s="326">
        <f t="shared" si="0"/>
        <v>4998393796.833374</v>
      </c>
    </row>
    <row r="57" spans="1:5" ht="12.95" customHeight="1">
      <c r="A57" s="337" t="s">
        <v>746</v>
      </c>
      <c r="B57" s="333" t="s">
        <v>747</v>
      </c>
      <c r="C57" s="338"/>
      <c r="D57" s="339"/>
      <c r="E57" s="326">
        <f t="shared" si="0"/>
        <v>0</v>
      </c>
    </row>
    <row r="58" spans="1:5" ht="12.95" customHeight="1">
      <c r="A58" s="324" t="s">
        <v>748</v>
      </c>
      <c r="B58" s="324" t="s">
        <v>749</v>
      </c>
      <c r="C58" s="329">
        <v>29294586214</v>
      </c>
      <c r="D58" s="330">
        <v>33242213903</v>
      </c>
      <c r="E58" s="326">
        <f t="shared" si="0"/>
        <v>3947627689</v>
      </c>
    </row>
    <row r="59" spans="1:5" ht="12.95" customHeight="1">
      <c r="A59" s="324" t="s">
        <v>750</v>
      </c>
      <c r="B59" s="324" t="s">
        <v>751</v>
      </c>
      <c r="C59" s="329">
        <v>766662151</v>
      </c>
      <c r="D59" s="330">
        <v>821107153</v>
      </c>
      <c r="E59" s="326">
        <f t="shared" si="0"/>
        <v>54445002</v>
      </c>
    </row>
    <row r="60" spans="1:5" ht="12.95" customHeight="1">
      <c r="A60" s="324" t="s">
        <v>752</v>
      </c>
      <c r="B60" s="324" t="s">
        <v>753</v>
      </c>
      <c r="C60" s="329">
        <v>54285000</v>
      </c>
      <c r="D60" s="330">
        <v>54285000</v>
      </c>
      <c r="E60" s="326">
        <f t="shared" si="0"/>
        <v>0</v>
      </c>
    </row>
    <row r="61" spans="1:5" ht="12.95" customHeight="1">
      <c r="A61" s="324" t="s">
        <v>754</v>
      </c>
      <c r="B61" s="324" t="s">
        <v>947</v>
      </c>
      <c r="C61" s="329">
        <v>12137718081</v>
      </c>
      <c r="D61" s="330">
        <v>12234131106.333334</v>
      </c>
      <c r="E61" s="326">
        <f t="shared" si="0"/>
        <v>96413025.333333969</v>
      </c>
    </row>
    <row r="62" spans="1:5" ht="12.95" customHeight="1">
      <c r="A62" s="324" t="s">
        <v>948</v>
      </c>
      <c r="B62" s="324" t="s">
        <v>949</v>
      </c>
      <c r="C62" s="351">
        <v>0</v>
      </c>
      <c r="D62" s="330">
        <v>3000000000</v>
      </c>
      <c r="E62" s="326">
        <f t="shared" si="0"/>
        <v>3000000000</v>
      </c>
    </row>
    <row r="63" spans="1:5" ht="12.95" customHeight="1">
      <c r="A63" s="324" t="s">
        <v>756</v>
      </c>
      <c r="B63" s="324" t="s">
        <v>757</v>
      </c>
      <c r="C63" s="329">
        <v>2942025900</v>
      </c>
      <c r="D63" s="330">
        <v>2942025900</v>
      </c>
      <c r="E63" s="326">
        <f t="shared" si="0"/>
        <v>0</v>
      </c>
    </row>
    <row r="64" spans="1:5" ht="12.95" customHeight="1">
      <c r="A64" s="324" t="s">
        <v>758</v>
      </c>
      <c r="B64" s="324" t="s">
        <v>759</v>
      </c>
      <c r="C64" s="329">
        <v>1227907159</v>
      </c>
      <c r="D64" s="330">
        <v>1619170238</v>
      </c>
      <c r="E64" s="326">
        <f t="shared" si="0"/>
        <v>391263079</v>
      </c>
    </row>
    <row r="65" spans="1:5" ht="12.95" customHeight="1">
      <c r="A65" s="324" t="s">
        <v>760</v>
      </c>
      <c r="B65" s="324" t="s">
        <v>761</v>
      </c>
      <c r="C65" s="329">
        <v>2993963129</v>
      </c>
      <c r="D65" s="330">
        <v>4710608101</v>
      </c>
      <c r="E65" s="326">
        <f t="shared" si="0"/>
        <v>1716644972</v>
      </c>
    </row>
    <row r="66" spans="1:5" ht="12.95" customHeight="1">
      <c r="A66" s="324" t="s">
        <v>762</v>
      </c>
      <c r="B66" s="324" t="s">
        <v>763</v>
      </c>
      <c r="C66" s="326">
        <v>0</v>
      </c>
      <c r="D66" s="327">
        <v>0</v>
      </c>
      <c r="E66" s="326">
        <f t="shared" si="0"/>
        <v>0</v>
      </c>
    </row>
    <row r="67" spans="1:5" ht="12.95" customHeight="1">
      <c r="A67" s="324" t="s">
        <v>764</v>
      </c>
      <c r="B67" s="324" t="s">
        <v>765</v>
      </c>
      <c r="C67" s="326">
        <v>0</v>
      </c>
      <c r="D67" s="327">
        <v>0</v>
      </c>
      <c r="E67" s="326">
        <f t="shared" si="0"/>
        <v>0</v>
      </c>
    </row>
    <row r="68" spans="1:5" ht="12.95" customHeight="1">
      <c r="A68" s="324" t="s">
        <v>766</v>
      </c>
      <c r="B68" s="324" t="s">
        <v>767</v>
      </c>
      <c r="C68" s="326">
        <v>0</v>
      </c>
      <c r="D68" s="327">
        <v>0</v>
      </c>
      <c r="E68" s="326">
        <f t="shared" si="0"/>
        <v>0</v>
      </c>
    </row>
    <row r="69" spans="1:5" ht="12.95" customHeight="1">
      <c r="A69" s="324" t="s">
        <v>768</v>
      </c>
      <c r="B69" s="324" t="s">
        <v>769</v>
      </c>
      <c r="C69" s="342">
        <v>0</v>
      </c>
      <c r="D69" s="343">
        <v>5043672481</v>
      </c>
      <c r="E69" s="326">
        <f t="shared" si="0"/>
        <v>5043672481</v>
      </c>
    </row>
    <row r="70" spans="1:5" ht="12.95" customHeight="1">
      <c r="A70" s="324"/>
      <c r="B70" s="323" t="s">
        <v>667</v>
      </c>
      <c r="C70" s="334">
        <f>SUM(C58:C69)</f>
        <v>49417147634</v>
      </c>
      <c r="D70" s="335">
        <f>SUM(D58:D69)</f>
        <v>63667213882.333336</v>
      </c>
      <c r="E70" s="341">
        <f t="shared" si="0"/>
        <v>14250066248.333336</v>
      </c>
    </row>
    <row r="71" spans="1:5" ht="12.95" customHeight="1">
      <c r="A71" s="323" t="s">
        <v>770</v>
      </c>
      <c r="B71" s="323" t="s">
        <v>771</v>
      </c>
      <c r="C71" s="329"/>
      <c r="D71" s="330"/>
      <c r="E71" s="326">
        <f t="shared" si="0"/>
        <v>0</v>
      </c>
    </row>
    <row r="72" spans="1:5" ht="12.95" customHeight="1">
      <c r="A72" s="324" t="s">
        <v>772</v>
      </c>
      <c r="B72" s="324" t="s">
        <v>773</v>
      </c>
      <c r="C72" s="329">
        <v>2196790019</v>
      </c>
      <c r="D72" s="330">
        <v>3466278853</v>
      </c>
      <c r="E72" s="326">
        <f t="shared" si="0"/>
        <v>1269488834</v>
      </c>
    </row>
    <row r="73" spans="1:5" ht="12.95" customHeight="1">
      <c r="A73" s="324" t="s">
        <v>774</v>
      </c>
      <c r="B73" s="324" t="s">
        <v>775</v>
      </c>
      <c r="C73" s="331">
        <v>232362240</v>
      </c>
      <c r="D73" s="332">
        <v>232362240</v>
      </c>
      <c r="E73" s="326">
        <f t="shared" ref="E73:E81" si="1">D73-C73</f>
        <v>0</v>
      </c>
    </row>
    <row r="74" spans="1:5" ht="12.95" customHeight="1">
      <c r="A74" s="324"/>
      <c r="B74" s="352" t="s">
        <v>667</v>
      </c>
      <c r="C74" s="334">
        <f>SUM(C72:C73)</f>
        <v>2429152259</v>
      </c>
      <c r="D74" s="335">
        <f>SUM(D72:D73)</f>
        <v>3698641093</v>
      </c>
      <c r="E74" s="326">
        <f t="shared" si="1"/>
        <v>1269488834</v>
      </c>
    </row>
    <row r="75" spans="1:5" ht="12.95" customHeight="1">
      <c r="A75" s="323" t="s">
        <v>950</v>
      </c>
      <c r="B75" s="324" t="s">
        <v>777</v>
      </c>
      <c r="C75" s="324"/>
      <c r="D75" s="325"/>
      <c r="E75" s="326">
        <f t="shared" si="1"/>
        <v>0</v>
      </c>
    </row>
    <row r="76" spans="1:5" ht="12.95" customHeight="1">
      <c r="A76" s="323" t="s">
        <v>951</v>
      </c>
      <c r="B76" s="324" t="s">
        <v>952</v>
      </c>
      <c r="C76" s="326">
        <v>8102038942</v>
      </c>
      <c r="D76" s="327">
        <v>9254674112</v>
      </c>
      <c r="E76" s="326">
        <f t="shared" si="1"/>
        <v>1152635170</v>
      </c>
    </row>
    <row r="77" spans="1:5" ht="12.95" customHeight="1">
      <c r="A77" s="323" t="s">
        <v>953</v>
      </c>
      <c r="B77" s="324" t="s">
        <v>857</v>
      </c>
      <c r="C77" s="326">
        <v>24333605149</v>
      </c>
      <c r="D77" s="327">
        <v>24333605149</v>
      </c>
      <c r="E77" s="326">
        <f t="shared" si="1"/>
        <v>0</v>
      </c>
    </row>
    <row r="78" spans="1:5" ht="12.95" customHeight="1">
      <c r="A78" s="323" t="s">
        <v>954</v>
      </c>
      <c r="B78" s="324" t="s">
        <v>955</v>
      </c>
      <c r="C78" s="326">
        <v>190362923</v>
      </c>
      <c r="D78" s="327">
        <v>255494384</v>
      </c>
      <c r="E78" s="326">
        <f t="shared" si="1"/>
        <v>65131461</v>
      </c>
    </row>
    <row r="79" spans="1:5" ht="12.95" customHeight="1">
      <c r="A79" s="323" t="s">
        <v>956</v>
      </c>
      <c r="B79" s="324" t="s">
        <v>957</v>
      </c>
      <c r="C79" s="342">
        <v>363136531</v>
      </c>
      <c r="D79" s="343">
        <v>617907211</v>
      </c>
      <c r="E79" s="326">
        <f t="shared" si="1"/>
        <v>254770680</v>
      </c>
    </row>
    <row r="80" spans="1:5" ht="12.95" customHeight="1">
      <c r="A80" s="323"/>
      <c r="B80" s="323" t="s">
        <v>667</v>
      </c>
      <c r="C80" s="341">
        <f>SUM(C76:C79)</f>
        <v>32989143545</v>
      </c>
      <c r="D80" s="353">
        <f>SUM(D76:D79)</f>
        <v>34461680856</v>
      </c>
      <c r="E80" s="326">
        <f t="shared" si="1"/>
        <v>1472537311</v>
      </c>
    </row>
    <row r="81" spans="1:5" ht="12.95" customHeight="1">
      <c r="A81" s="323"/>
      <c r="B81" s="323" t="s">
        <v>778</v>
      </c>
      <c r="C81" s="354">
        <f>C74+C70+C56+C48+C43+C36+C29+C18+C12+C9+C80</f>
        <v>750000000000</v>
      </c>
      <c r="D81" s="355">
        <f>D80+D74+D70+D56+D48+D43+D36+D29+D18+D12+D9+E3</f>
        <v>912000000000</v>
      </c>
      <c r="E81" s="341">
        <f t="shared" si="1"/>
        <v>162000000000</v>
      </c>
    </row>
  </sheetData>
  <pageMargins left="0.7" right="0.7" top="0.75" bottom="0.75" header="0.3" footer="0.3"/>
  <pageSetup scale="65" orientation="portrait" r:id="rId1"/>
  <headerFooter>
    <oddHeader>&amp;C&amp;"Arial Narrow,Regular"&amp;36DAKHLIGA GUUD EE MIISAANIYADA 2014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K13" sqref="K13"/>
    </sheetView>
  </sheetViews>
  <sheetFormatPr defaultRowHeight="12.75"/>
  <cols>
    <col min="2" max="2" width="37.83203125" customWidth="1"/>
    <col min="3" max="3" width="8.5" customWidth="1"/>
    <col min="4" max="4" width="8.1640625" customWidth="1"/>
    <col min="5" max="5" width="8" customWidth="1"/>
    <col min="6" max="6" width="8.33203125" customWidth="1"/>
    <col min="7" max="7" width="8.6640625" customWidth="1"/>
    <col min="8" max="8" width="18" customWidth="1"/>
    <col min="9" max="9" width="15.5" customWidth="1"/>
    <col min="10" max="10" width="12.5" customWidth="1"/>
  </cols>
  <sheetData>
    <row r="1" spans="1:10" ht="13.5" customHeight="1">
      <c r="A1" s="38" t="s">
        <v>40</v>
      </c>
      <c r="B1" s="39" t="s">
        <v>45</v>
      </c>
      <c r="C1" s="40" t="s">
        <v>51</v>
      </c>
      <c r="D1" s="40" t="s">
        <v>52</v>
      </c>
      <c r="E1" s="40" t="s">
        <v>53</v>
      </c>
      <c r="F1" s="40" t="s">
        <v>54</v>
      </c>
      <c r="G1" s="40" t="s">
        <v>105</v>
      </c>
      <c r="H1" s="40" t="s">
        <v>315</v>
      </c>
    </row>
    <row r="2" spans="1:10" ht="12.75" customHeight="1">
      <c r="A2" s="20">
        <v>1</v>
      </c>
      <c r="B2" s="13" t="s">
        <v>6</v>
      </c>
      <c r="C2" s="19">
        <v>0</v>
      </c>
      <c r="D2" s="19">
        <v>0</v>
      </c>
      <c r="E2" s="19">
        <v>0</v>
      </c>
      <c r="F2" s="19">
        <v>0</v>
      </c>
      <c r="G2" s="19">
        <f>F2+E2+D2+C2</f>
        <v>0</v>
      </c>
      <c r="H2" s="19">
        <v>0</v>
      </c>
    </row>
    <row r="3" spans="1:10" ht="12.75" customHeight="1">
      <c r="A3" s="20" t="s">
        <v>7</v>
      </c>
      <c r="B3" s="13" t="s">
        <v>84</v>
      </c>
      <c r="C3" s="19">
        <v>0</v>
      </c>
      <c r="D3" s="19">
        <v>0</v>
      </c>
      <c r="E3" s="19">
        <v>0</v>
      </c>
      <c r="F3" s="19">
        <v>0</v>
      </c>
      <c r="G3" s="19">
        <f t="shared" ref="G3:G53" si="0">F3+E3+D3+C3</f>
        <v>0</v>
      </c>
      <c r="H3" s="19">
        <v>0</v>
      </c>
    </row>
    <row r="4" spans="1:10" ht="14.25" customHeight="1">
      <c r="A4" s="20" t="s">
        <v>78</v>
      </c>
      <c r="B4" s="13" t="s">
        <v>98</v>
      </c>
      <c r="C4" s="19">
        <v>11</v>
      </c>
      <c r="D4" s="19">
        <v>8</v>
      </c>
      <c r="E4" s="19">
        <v>2</v>
      </c>
      <c r="F4" s="19">
        <v>11</v>
      </c>
      <c r="G4" s="19">
        <f t="shared" si="0"/>
        <v>32</v>
      </c>
      <c r="H4" s="19">
        <f>F4*156000*12*2+E4*266500*12*2+D4*345800*12*2+C4*423800*12*2</f>
        <v>232252800</v>
      </c>
    </row>
    <row r="5" spans="1:10" ht="12.75" customHeight="1">
      <c r="A5" s="20">
        <v>2</v>
      </c>
      <c r="B5" s="13" t="s">
        <v>8</v>
      </c>
      <c r="C5" s="19">
        <f>6</f>
        <v>6</v>
      </c>
      <c r="D5" s="19">
        <v>11</v>
      </c>
      <c r="E5" s="19">
        <f>6</f>
        <v>6</v>
      </c>
      <c r="F5" s="19">
        <v>7</v>
      </c>
      <c r="G5" s="19">
        <f t="shared" si="0"/>
        <v>30</v>
      </c>
      <c r="H5" s="19">
        <f t="shared" ref="H5:H53" si="1">F5*156000*12*2+E5*266500*12*2+D5*345800*12*2+C5*423800*12*2</f>
        <v>216902400</v>
      </c>
    </row>
    <row r="6" spans="1:10" ht="12.75" customHeight="1">
      <c r="A6" s="20">
        <v>3</v>
      </c>
      <c r="B6" s="13" t="s">
        <v>9</v>
      </c>
      <c r="C6" s="19">
        <v>10</v>
      </c>
      <c r="D6" s="19">
        <v>17</v>
      </c>
      <c r="E6" s="19">
        <v>13</v>
      </c>
      <c r="F6" s="19">
        <v>21</v>
      </c>
      <c r="G6" s="19">
        <f t="shared" si="0"/>
        <v>61</v>
      </c>
      <c r="H6" s="19">
        <f t="shared" si="1"/>
        <v>404570400</v>
      </c>
    </row>
    <row r="7" spans="1:10" ht="12.75" customHeight="1">
      <c r="A7" s="20">
        <v>4</v>
      </c>
      <c r="B7" s="13" t="s">
        <v>10</v>
      </c>
      <c r="C7" s="19">
        <v>2</v>
      </c>
      <c r="D7" s="19">
        <v>5</v>
      </c>
      <c r="E7" s="19">
        <v>5</v>
      </c>
      <c r="F7" s="19">
        <v>3</v>
      </c>
      <c r="G7" s="19">
        <f t="shared" si="0"/>
        <v>15</v>
      </c>
      <c r="H7" s="19">
        <f t="shared" si="1"/>
        <v>105050400</v>
      </c>
    </row>
    <row r="8" spans="1:10" ht="12.75" customHeight="1">
      <c r="A8" s="20">
        <v>5</v>
      </c>
      <c r="B8" s="13" t="s">
        <v>11</v>
      </c>
      <c r="C8" s="19">
        <v>2</v>
      </c>
      <c r="D8" s="19">
        <v>11</v>
      </c>
      <c r="E8" s="19">
        <v>7</v>
      </c>
      <c r="F8" s="19">
        <v>16</v>
      </c>
      <c r="G8" s="19">
        <f t="shared" si="0"/>
        <v>36</v>
      </c>
      <c r="H8" s="19">
        <f t="shared" si="1"/>
        <v>216309600</v>
      </c>
    </row>
    <row r="9" spans="1:10" ht="12.75" customHeight="1">
      <c r="A9" s="20">
        <v>6</v>
      </c>
      <c r="B9" s="13" t="s">
        <v>12</v>
      </c>
      <c r="C9" s="19">
        <f>6+2</f>
        <v>8</v>
      </c>
      <c r="D9" s="19">
        <f>10+2</f>
        <v>12</v>
      </c>
      <c r="E9" s="19">
        <f>7+4</f>
        <v>11</v>
      </c>
      <c r="F9" s="19">
        <f>8+10</f>
        <v>18</v>
      </c>
      <c r="G9" s="19">
        <f t="shared" si="0"/>
        <v>49</v>
      </c>
      <c r="H9" s="19">
        <f t="shared" si="1"/>
        <v>318708000</v>
      </c>
    </row>
    <row r="10" spans="1:10" ht="12.75" customHeight="1">
      <c r="A10" s="20">
        <v>7</v>
      </c>
      <c r="B10" s="13" t="s">
        <v>13</v>
      </c>
      <c r="C10" s="19">
        <v>6</v>
      </c>
      <c r="D10" s="19">
        <v>30</v>
      </c>
      <c r="E10" s="19">
        <v>12</v>
      </c>
      <c r="F10" s="19">
        <v>4</v>
      </c>
      <c r="G10" s="19">
        <f t="shared" si="0"/>
        <v>52</v>
      </c>
      <c r="H10" s="19">
        <f t="shared" si="1"/>
        <v>401731200</v>
      </c>
    </row>
    <row r="11" spans="1:10" ht="12.75" customHeight="1">
      <c r="A11" s="20">
        <v>8</v>
      </c>
      <c r="B11" s="13" t="s">
        <v>122</v>
      </c>
      <c r="C11" s="19">
        <v>14</v>
      </c>
      <c r="D11" s="19">
        <v>26</v>
      </c>
      <c r="E11" s="19">
        <v>30</v>
      </c>
      <c r="F11" s="19">
        <v>15</v>
      </c>
      <c r="G11" s="19">
        <f t="shared" si="0"/>
        <v>85</v>
      </c>
      <c r="H11" s="19">
        <f t="shared" si="1"/>
        <v>606216000</v>
      </c>
    </row>
    <row r="12" spans="1:10" ht="12.75" customHeight="1">
      <c r="A12" s="20" t="s">
        <v>14</v>
      </c>
      <c r="B12" s="13" t="s">
        <v>189</v>
      </c>
      <c r="C12" s="19">
        <v>0</v>
      </c>
      <c r="D12" s="19">
        <v>0</v>
      </c>
      <c r="E12" s="19">
        <v>0</v>
      </c>
      <c r="F12" s="19">
        <v>0</v>
      </c>
      <c r="G12" s="19">
        <v>300</v>
      </c>
      <c r="H12" s="19">
        <f>G12*265200*12*2</f>
        <v>1909440000</v>
      </c>
    </row>
    <row r="13" spans="1:10" ht="12.75" customHeight="1">
      <c r="A13" s="20">
        <v>9</v>
      </c>
      <c r="B13" s="13" t="s">
        <v>16</v>
      </c>
      <c r="C13" s="19">
        <v>8</v>
      </c>
      <c r="D13" s="19">
        <v>8</v>
      </c>
      <c r="E13" s="19">
        <v>6</v>
      </c>
      <c r="F13" s="19">
        <v>6</v>
      </c>
      <c r="G13" s="19">
        <f t="shared" si="0"/>
        <v>28</v>
      </c>
      <c r="H13" s="19">
        <f t="shared" si="1"/>
        <v>208603200</v>
      </c>
    </row>
    <row r="14" spans="1:10" ht="12.75" customHeight="1">
      <c r="A14" s="20">
        <v>10</v>
      </c>
      <c r="B14" s="13" t="s">
        <v>17</v>
      </c>
      <c r="C14" s="19">
        <v>13</v>
      </c>
      <c r="D14" s="19">
        <v>13</v>
      </c>
      <c r="E14" s="19">
        <v>6</v>
      </c>
      <c r="F14" s="19">
        <v>6</v>
      </c>
      <c r="G14" s="19">
        <f t="shared" si="0"/>
        <v>38</v>
      </c>
      <c r="H14" s="19">
        <f t="shared" si="1"/>
        <v>300955200</v>
      </c>
    </row>
    <row r="15" spans="1:10" ht="12.75" customHeight="1">
      <c r="A15" s="20" t="s">
        <v>18</v>
      </c>
      <c r="B15" s="13" t="s">
        <v>201</v>
      </c>
      <c r="C15" s="41">
        <v>0</v>
      </c>
      <c r="D15" s="19">
        <v>0</v>
      </c>
      <c r="E15" s="19">
        <v>0</v>
      </c>
      <c r="F15" s="19">
        <v>0</v>
      </c>
      <c r="G15" s="19"/>
      <c r="H15" s="19">
        <f>G15*265200*12*2</f>
        <v>0</v>
      </c>
    </row>
    <row r="16" spans="1:10" ht="12.75" customHeight="1">
      <c r="A16" s="20" t="s">
        <v>19</v>
      </c>
      <c r="B16" s="13" t="s">
        <v>20</v>
      </c>
      <c r="C16" s="41">
        <v>121</v>
      </c>
      <c r="D16" s="19">
        <v>86</v>
      </c>
      <c r="E16" s="19">
        <v>7</v>
      </c>
      <c r="F16" s="19">
        <v>101</v>
      </c>
      <c r="G16" s="19">
        <f t="shared" si="0"/>
        <v>315</v>
      </c>
      <c r="H16" s="62">
        <f>F16*156000*12*2+E16*266500*12*2+D16*345800*12*2+C16*423800*12*2</f>
        <v>2367362400</v>
      </c>
      <c r="I16" s="63"/>
      <c r="J16" s="61"/>
    </row>
    <row r="17" spans="1:8" ht="12.75" customHeight="1">
      <c r="A17" s="20" t="s">
        <v>206</v>
      </c>
      <c r="B17" s="13" t="s">
        <v>204</v>
      </c>
      <c r="C17" s="19">
        <v>8</v>
      </c>
      <c r="D17" s="19">
        <v>1</v>
      </c>
      <c r="E17" s="19">
        <v>2</v>
      </c>
      <c r="F17" s="19">
        <v>2</v>
      </c>
      <c r="G17" s="19">
        <f t="shared" si="0"/>
        <v>13</v>
      </c>
      <c r="H17" s="19">
        <f>F17*156000*12*2+E17*266500*12*2+D17*345800*12*2+C17*423800*12*2</f>
        <v>109948800</v>
      </c>
    </row>
    <row r="18" spans="1:8" ht="12.75" customHeight="1">
      <c r="A18" s="20" t="s">
        <v>207</v>
      </c>
      <c r="B18" s="13" t="s">
        <v>195</v>
      </c>
      <c r="C18" s="19">
        <v>3</v>
      </c>
      <c r="D18" s="19">
        <v>6</v>
      </c>
      <c r="E18" s="19">
        <v>2</v>
      </c>
      <c r="F18" s="19">
        <v>0</v>
      </c>
      <c r="G18" s="19">
        <f t="shared" si="0"/>
        <v>11</v>
      </c>
      <c r="H18" s="19">
        <f t="shared" si="1"/>
        <v>93100800</v>
      </c>
    </row>
    <row r="19" spans="1:8" ht="12.75" customHeight="1">
      <c r="A19" s="20">
        <v>11</v>
      </c>
      <c r="B19" s="13" t="s">
        <v>99</v>
      </c>
      <c r="C19" s="19">
        <v>44</v>
      </c>
      <c r="D19" s="19">
        <f>84</f>
        <v>84</v>
      </c>
      <c r="E19" s="19">
        <v>60</v>
      </c>
      <c r="F19" s="19">
        <f>56+1142</f>
        <v>1198</v>
      </c>
      <c r="G19" s="19">
        <f t="shared" si="0"/>
        <v>1386</v>
      </c>
      <c r="H19" s="19">
        <f t="shared" si="1"/>
        <v>6013737600</v>
      </c>
    </row>
    <row r="20" spans="1:8" ht="12.75" customHeight="1">
      <c r="A20" s="20" t="s">
        <v>21</v>
      </c>
      <c r="B20" s="13" t="s">
        <v>197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>G20*265200*12*2</f>
        <v>0</v>
      </c>
    </row>
    <row r="21" spans="1:8" ht="12.75" customHeight="1">
      <c r="A21" s="20" t="s">
        <v>73</v>
      </c>
      <c r="B21" s="13" t="s">
        <v>72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>G21*265200*12*2</f>
        <v>0</v>
      </c>
    </row>
    <row r="22" spans="1:8" ht="12.75" customHeight="1">
      <c r="A22" s="20" t="s">
        <v>208</v>
      </c>
      <c r="B22" s="13" t="s">
        <v>196</v>
      </c>
      <c r="C22" s="19">
        <v>0</v>
      </c>
      <c r="D22" s="19">
        <v>0</v>
      </c>
      <c r="E22" s="19">
        <v>0</v>
      </c>
      <c r="F22" s="19">
        <v>0</v>
      </c>
      <c r="G22" s="19">
        <f t="shared" si="0"/>
        <v>0</v>
      </c>
      <c r="H22" s="19">
        <f t="shared" si="1"/>
        <v>0</v>
      </c>
    </row>
    <row r="23" spans="1:8" ht="12.75" customHeight="1">
      <c r="A23" s="20" t="s">
        <v>352</v>
      </c>
      <c r="B23" s="13" t="s">
        <v>139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f>G23*265200*12*2</f>
        <v>0</v>
      </c>
    </row>
    <row r="24" spans="1:8" ht="12.75" customHeight="1">
      <c r="A24" s="20">
        <v>12</v>
      </c>
      <c r="B24" s="13" t="s">
        <v>417</v>
      </c>
      <c r="C24" s="19">
        <v>32</v>
      </c>
      <c r="D24" s="19">
        <v>222</v>
      </c>
      <c r="E24" s="19">
        <v>47</v>
      </c>
      <c r="F24" s="19">
        <v>18</v>
      </c>
      <c r="G24" s="19">
        <f t="shared" si="0"/>
        <v>319</v>
      </c>
      <c r="H24" s="19">
        <f t="shared" si="1"/>
        <v>2535904800</v>
      </c>
    </row>
    <row r="25" spans="1:8" ht="12.75" customHeight="1">
      <c r="A25" s="20" t="s">
        <v>74</v>
      </c>
      <c r="B25" s="13" t="s">
        <v>75</v>
      </c>
      <c r="C25" s="19">
        <v>0</v>
      </c>
      <c r="D25" s="19">
        <v>0</v>
      </c>
      <c r="E25" s="19">
        <v>0</v>
      </c>
      <c r="F25" s="19">
        <v>0</v>
      </c>
      <c r="G25" s="19">
        <f t="shared" si="0"/>
        <v>0</v>
      </c>
      <c r="H25" s="19">
        <f t="shared" si="1"/>
        <v>0</v>
      </c>
    </row>
    <row r="26" spans="1:8" ht="12.75" customHeight="1">
      <c r="A26" s="20">
        <v>13</v>
      </c>
      <c r="B26" s="13" t="s">
        <v>416</v>
      </c>
      <c r="C26" s="19">
        <v>3</v>
      </c>
      <c r="D26" s="19">
        <v>5</v>
      </c>
      <c r="E26" s="19">
        <v>8</v>
      </c>
      <c r="F26" s="19">
        <f>4</f>
        <v>4</v>
      </c>
      <c r="G26" s="19">
        <f t="shared" si="0"/>
        <v>20</v>
      </c>
      <c r="H26" s="19">
        <f t="shared" si="1"/>
        <v>138153600</v>
      </c>
    </row>
    <row r="27" spans="1:8" ht="12.75" customHeight="1">
      <c r="A27" s="20" t="s">
        <v>22</v>
      </c>
      <c r="B27" s="13" t="s">
        <v>424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>G27*265200*12*2</f>
        <v>0</v>
      </c>
    </row>
    <row r="28" spans="1:8" ht="12.75" customHeight="1">
      <c r="A28" s="20">
        <v>14</v>
      </c>
      <c r="B28" s="13" t="s">
        <v>325</v>
      </c>
      <c r="C28" s="19">
        <v>40</v>
      </c>
      <c r="D28" s="19">
        <v>14</v>
      </c>
      <c r="E28" s="19">
        <v>10</v>
      </c>
      <c r="F28" s="19">
        <v>7</v>
      </c>
      <c r="G28" s="19">
        <f t="shared" si="0"/>
        <v>71</v>
      </c>
      <c r="H28" s="19">
        <f t="shared" si="1"/>
        <v>613204800</v>
      </c>
    </row>
    <row r="29" spans="1:8" ht="12.75" customHeight="1">
      <c r="A29" s="20">
        <v>15</v>
      </c>
      <c r="B29" s="13" t="s">
        <v>80</v>
      </c>
      <c r="C29" s="19">
        <f>55</f>
        <v>55</v>
      </c>
      <c r="D29" s="19">
        <f>197</f>
        <v>197</v>
      </c>
      <c r="E29" s="19">
        <f>117</f>
        <v>117</v>
      </c>
      <c r="F29" s="19">
        <f>102</f>
        <v>102</v>
      </c>
      <c r="G29" s="19">
        <f t="shared" si="0"/>
        <v>471</v>
      </c>
      <c r="H29" s="19">
        <f t="shared" si="1"/>
        <v>3324578400</v>
      </c>
    </row>
    <row r="30" spans="1:8" ht="12.75" customHeight="1">
      <c r="A30" s="20">
        <v>16</v>
      </c>
      <c r="B30" s="13" t="s">
        <v>113</v>
      </c>
      <c r="C30" s="19">
        <f>27</f>
        <v>27</v>
      </c>
      <c r="D30" s="19">
        <f>48</f>
        <v>48</v>
      </c>
      <c r="E30" s="19">
        <f>34</f>
        <v>34</v>
      </c>
      <c r="F30" s="19">
        <f>66</f>
        <v>66</v>
      </c>
      <c r="G30" s="19">
        <f t="shared" si="0"/>
        <v>175</v>
      </c>
      <c r="H30" s="19">
        <f t="shared" si="1"/>
        <v>1137552000</v>
      </c>
    </row>
    <row r="31" spans="1:8" ht="12.75" customHeight="1">
      <c r="A31" s="20">
        <v>17</v>
      </c>
      <c r="B31" s="13" t="s">
        <v>415</v>
      </c>
      <c r="C31" s="19">
        <f>15</f>
        <v>15</v>
      </c>
      <c r="D31" s="19">
        <f>27</f>
        <v>27</v>
      </c>
      <c r="E31" s="19">
        <v>13</v>
      </c>
      <c r="F31" s="19">
        <v>7</v>
      </c>
      <c r="G31" s="19">
        <f t="shared" si="0"/>
        <v>62</v>
      </c>
      <c r="H31" s="19">
        <f t="shared" si="1"/>
        <v>486002400</v>
      </c>
    </row>
    <row r="32" spans="1:8" ht="12.75" customHeight="1">
      <c r="A32" s="20">
        <v>18</v>
      </c>
      <c r="B32" s="13" t="s">
        <v>414</v>
      </c>
      <c r="C32" s="19">
        <v>9</v>
      </c>
      <c r="D32" s="19">
        <v>28</v>
      </c>
      <c r="E32" s="19">
        <v>28</v>
      </c>
      <c r="F32" s="19">
        <v>13</v>
      </c>
      <c r="G32" s="19">
        <f t="shared" si="0"/>
        <v>78</v>
      </c>
      <c r="H32" s="19">
        <f t="shared" si="1"/>
        <v>551678400</v>
      </c>
    </row>
    <row r="33" spans="1:8" ht="12.75" customHeight="1">
      <c r="A33" s="20">
        <v>19</v>
      </c>
      <c r="B33" s="13" t="s">
        <v>413</v>
      </c>
      <c r="C33" s="19">
        <f>30</f>
        <v>30</v>
      </c>
      <c r="D33" s="19">
        <f>54</f>
        <v>54</v>
      </c>
      <c r="E33" s="19">
        <f>19</f>
        <v>19</v>
      </c>
      <c r="F33" s="19">
        <f>23</f>
        <v>23</v>
      </c>
      <c r="G33" s="19">
        <f t="shared" si="0"/>
        <v>126</v>
      </c>
      <c r="H33" s="19">
        <f t="shared" si="1"/>
        <v>960928800</v>
      </c>
    </row>
    <row r="34" spans="1:8" ht="12.75" customHeight="1">
      <c r="A34" s="20">
        <v>20</v>
      </c>
      <c r="B34" s="13" t="s">
        <v>397</v>
      </c>
      <c r="C34" s="19">
        <f>38+14</f>
        <v>52</v>
      </c>
      <c r="D34" s="19">
        <f>119+26</f>
        <v>145</v>
      </c>
      <c r="E34" s="19">
        <f>34+121</f>
        <v>155</v>
      </c>
      <c r="F34" s="19">
        <f>17+15</f>
        <v>32</v>
      </c>
      <c r="G34" s="19">
        <f t="shared" si="0"/>
        <v>384</v>
      </c>
      <c r="H34" s="19">
        <f t="shared" si="1"/>
        <v>2843474400</v>
      </c>
    </row>
    <row r="35" spans="1:8" ht="12.75" customHeight="1">
      <c r="A35" s="20">
        <v>21</v>
      </c>
      <c r="B35" s="13" t="s">
        <v>100</v>
      </c>
      <c r="C35" s="19">
        <f>6</f>
        <v>6</v>
      </c>
      <c r="D35" s="19">
        <f>36</f>
        <v>36</v>
      </c>
      <c r="E35" s="19">
        <f>6</f>
        <v>6</v>
      </c>
      <c r="F35" s="19">
        <v>10</v>
      </c>
      <c r="G35" s="19">
        <f t="shared" si="0"/>
        <v>58</v>
      </c>
      <c r="H35" s="19">
        <f t="shared" si="1"/>
        <v>435614400</v>
      </c>
    </row>
    <row r="36" spans="1:8" ht="12.75" customHeight="1">
      <c r="A36" s="20">
        <v>22</v>
      </c>
      <c r="B36" s="13" t="s">
        <v>111</v>
      </c>
      <c r="C36" s="19">
        <v>535</v>
      </c>
      <c r="D36" s="19">
        <v>3015</v>
      </c>
      <c r="E36" s="19">
        <v>30</v>
      </c>
      <c r="F36" s="19">
        <v>293</v>
      </c>
      <c r="G36" s="19">
        <f t="shared" si="0"/>
        <v>3873</v>
      </c>
      <c r="H36" s="19">
        <f t="shared" si="1"/>
        <v>31752552000</v>
      </c>
    </row>
    <row r="37" spans="1:8" ht="12.75" customHeight="1">
      <c r="A37" s="20">
        <v>23</v>
      </c>
      <c r="B37" s="13" t="s">
        <v>123</v>
      </c>
      <c r="C37" s="19">
        <v>167</v>
      </c>
      <c r="D37" s="19">
        <v>792</v>
      </c>
      <c r="E37" s="19">
        <v>492</v>
      </c>
      <c r="F37" s="19">
        <v>182</v>
      </c>
      <c r="G37" s="19">
        <f t="shared" si="0"/>
        <v>1633</v>
      </c>
      <c r="H37" s="19">
        <f t="shared" si="1"/>
        <v>12099796800</v>
      </c>
    </row>
    <row r="38" spans="1:8" ht="12.75" customHeight="1">
      <c r="A38" s="20">
        <v>24</v>
      </c>
      <c r="B38" s="13" t="s">
        <v>198</v>
      </c>
      <c r="C38" s="19">
        <f>5</f>
        <v>5</v>
      </c>
      <c r="D38" s="19">
        <f>22</f>
        <v>22</v>
      </c>
      <c r="E38" s="19">
        <v>7</v>
      </c>
      <c r="F38" s="19">
        <v>3</v>
      </c>
      <c r="G38" s="19">
        <f t="shared" si="0"/>
        <v>37</v>
      </c>
      <c r="H38" s="19">
        <f t="shared" si="1"/>
        <v>289442400</v>
      </c>
    </row>
    <row r="39" spans="1:8" ht="12.75" customHeight="1">
      <c r="A39" s="20">
        <v>25</v>
      </c>
      <c r="B39" s="13" t="s">
        <v>412</v>
      </c>
      <c r="C39" s="19">
        <v>22</v>
      </c>
      <c r="D39" s="19">
        <v>53</v>
      </c>
      <c r="E39" s="19">
        <v>63</v>
      </c>
      <c r="F39" s="19">
        <v>18</v>
      </c>
      <c r="G39" s="19">
        <f t="shared" si="0"/>
        <v>156</v>
      </c>
      <c r="H39" s="19">
        <f t="shared" si="1"/>
        <v>1133964000</v>
      </c>
    </row>
    <row r="40" spans="1:8" ht="12.75" customHeight="1">
      <c r="A40" s="20">
        <v>26</v>
      </c>
      <c r="B40" s="13" t="s">
        <v>411</v>
      </c>
      <c r="C40" s="19">
        <v>19</v>
      </c>
      <c r="D40" s="19">
        <v>78</v>
      </c>
      <c r="E40" s="19">
        <v>52</v>
      </c>
      <c r="F40" s="19">
        <v>49</v>
      </c>
      <c r="G40" s="19">
        <f t="shared" si="0"/>
        <v>198</v>
      </c>
      <c r="H40" s="19">
        <f t="shared" si="1"/>
        <v>1356638400</v>
      </c>
    </row>
    <row r="41" spans="1:8" ht="12.75" customHeight="1">
      <c r="A41" s="20">
        <v>27</v>
      </c>
      <c r="B41" s="13" t="s">
        <v>23</v>
      </c>
      <c r="C41" s="19">
        <v>6</v>
      </c>
      <c r="D41" s="19">
        <v>14</v>
      </c>
      <c r="E41" s="19">
        <v>3</v>
      </c>
      <c r="F41" s="19">
        <v>5</v>
      </c>
      <c r="G41" s="19">
        <f t="shared" si="0"/>
        <v>28</v>
      </c>
      <c r="H41" s="19">
        <f t="shared" si="1"/>
        <v>215124000</v>
      </c>
    </row>
    <row r="42" spans="1:8" ht="12.75" customHeight="1">
      <c r="A42" s="20">
        <v>28</v>
      </c>
      <c r="B42" s="13" t="s">
        <v>410</v>
      </c>
      <c r="C42" s="19">
        <v>4</v>
      </c>
      <c r="D42" s="19">
        <v>11</v>
      </c>
      <c r="E42" s="19">
        <v>5</v>
      </c>
      <c r="F42" s="19">
        <v>5</v>
      </c>
      <c r="G42" s="19">
        <f t="shared" si="0"/>
        <v>25</v>
      </c>
      <c r="H42" s="19">
        <f t="shared" si="1"/>
        <v>182676000</v>
      </c>
    </row>
    <row r="43" spans="1:8" ht="12.75" customHeight="1">
      <c r="A43" s="20">
        <v>29</v>
      </c>
      <c r="B43" s="13" t="s">
        <v>398</v>
      </c>
      <c r="C43" s="19">
        <v>1</v>
      </c>
      <c r="D43" s="19">
        <v>4</v>
      </c>
      <c r="E43" s="19">
        <v>2</v>
      </c>
      <c r="F43" s="19">
        <v>1</v>
      </c>
      <c r="G43" s="19">
        <f t="shared" si="0"/>
        <v>8</v>
      </c>
      <c r="H43" s="19">
        <f t="shared" si="1"/>
        <v>59904000</v>
      </c>
    </row>
    <row r="44" spans="1:8" ht="12.75" customHeight="1">
      <c r="A44" s="20">
        <v>30</v>
      </c>
      <c r="B44" s="13" t="s">
        <v>399</v>
      </c>
      <c r="C44" s="19">
        <v>6</v>
      </c>
      <c r="D44" s="19">
        <v>23</v>
      </c>
      <c r="E44" s="19">
        <v>11</v>
      </c>
      <c r="F44" s="19">
        <v>14</v>
      </c>
      <c r="G44" s="19">
        <f t="shared" si="0"/>
        <v>54</v>
      </c>
      <c r="H44" s="19">
        <f>F44*156000*12*2+E44*266500*12*2+D44*345800*12*2+C44*423800*12*2</f>
        <v>374680800</v>
      </c>
    </row>
    <row r="45" spans="1:8" ht="12.75" customHeight="1">
      <c r="A45" s="20">
        <v>31</v>
      </c>
      <c r="B45" s="13" t="s">
        <v>409</v>
      </c>
      <c r="C45" s="19">
        <v>18</v>
      </c>
      <c r="D45" s="19">
        <v>94</v>
      </c>
      <c r="E45" s="19">
        <v>34</v>
      </c>
      <c r="F45" s="19">
        <v>28</v>
      </c>
      <c r="G45" s="19">
        <f t="shared" si="0"/>
        <v>174</v>
      </c>
      <c r="H45" s="19">
        <f>F45*156000*12*2+E45*266500*12*2+D45*345800*12*2+C45*423800*12*2</f>
        <v>1285502400</v>
      </c>
    </row>
    <row r="46" spans="1:8" ht="12.75" customHeight="1">
      <c r="A46" s="20">
        <v>32</v>
      </c>
      <c r="B46" s="13" t="s">
        <v>77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1"/>
        <v>0</v>
      </c>
    </row>
    <row r="47" spans="1:8" ht="12.75" customHeight="1">
      <c r="A47" s="20">
        <v>33</v>
      </c>
      <c r="B47" s="13" t="s">
        <v>15</v>
      </c>
      <c r="C47" s="19">
        <v>3</v>
      </c>
      <c r="D47" s="19">
        <v>4</v>
      </c>
      <c r="E47" s="19">
        <v>1</v>
      </c>
      <c r="F47" s="19">
        <v>2</v>
      </c>
      <c r="G47" s="19">
        <f>F47+E47+D47+C47</f>
        <v>10</v>
      </c>
      <c r="H47" s="19">
        <f t="shared" si="1"/>
        <v>77594400</v>
      </c>
    </row>
    <row r="48" spans="1:8" ht="12.75" customHeight="1">
      <c r="A48" s="20">
        <v>34</v>
      </c>
      <c r="B48" s="13" t="s">
        <v>94</v>
      </c>
      <c r="C48" s="19">
        <v>2</v>
      </c>
      <c r="D48" s="19">
        <v>7</v>
      </c>
      <c r="E48" s="19">
        <v>1</v>
      </c>
      <c r="F48" s="19">
        <v>3</v>
      </c>
      <c r="G48" s="19">
        <f t="shared" si="0"/>
        <v>13</v>
      </c>
      <c r="H48" s="19">
        <f t="shared" si="1"/>
        <v>96064800</v>
      </c>
    </row>
    <row r="49" spans="1:8" ht="12.75" customHeight="1">
      <c r="A49" s="20">
        <v>35</v>
      </c>
      <c r="B49" s="13" t="s">
        <v>316</v>
      </c>
      <c r="C49" s="19">
        <v>4</v>
      </c>
      <c r="D49" s="19">
        <v>0</v>
      </c>
      <c r="E49" s="19">
        <v>1</v>
      </c>
      <c r="F49" s="19">
        <v>1</v>
      </c>
      <c r="G49" s="19">
        <f t="shared" si="0"/>
        <v>6</v>
      </c>
      <c r="H49" s="19">
        <f t="shared" si="1"/>
        <v>50824800</v>
      </c>
    </row>
    <row r="50" spans="1:8" ht="12.75" customHeight="1">
      <c r="A50" s="20">
        <v>36</v>
      </c>
      <c r="B50" s="13" t="s">
        <v>400</v>
      </c>
      <c r="C50" s="19">
        <v>2</v>
      </c>
      <c r="D50" s="19">
        <v>1</v>
      </c>
      <c r="E50" s="19">
        <v>1</v>
      </c>
      <c r="F50" s="19">
        <v>2</v>
      </c>
      <c r="G50" s="19">
        <f t="shared" si="0"/>
        <v>6</v>
      </c>
      <c r="H50" s="19">
        <f t="shared" si="1"/>
        <v>42525600</v>
      </c>
    </row>
    <row r="51" spans="1:8" ht="12.75" customHeight="1">
      <c r="A51" s="20">
        <v>37</v>
      </c>
      <c r="B51" s="13" t="s">
        <v>401</v>
      </c>
      <c r="C51" s="19">
        <v>3</v>
      </c>
      <c r="D51" s="19">
        <v>5</v>
      </c>
      <c r="E51" s="19">
        <v>2</v>
      </c>
      <c r="F51" s="19">
        <v>4</v>
      </c>
      <c r="G51" s="19">
        <f t="shared" si="0"/>
        <v>14</v>
      </c>
      <c r="H51" s="19">
        <f t="shared" si="1"/>
        <v>99777600</v>
      </c>
    </row>
    <row r="52" spans="1:8" ht="12.75" customHeight="1">
      <c r="A52" s="20">
        <v>38</v>
      </c>
      <c r="B52" s="13" t="s">
        <v>402</v>
      </c>
      <c r="C52" s="19">
        <v>22</v>
      </c>
      <c r="D52" s="19">
        <v>33</v>
      </c>
      <c r="E52" s="19">
        <v>3</v>
      </c>
      <c r="F52" s="19">
        <v>6</v>
      </c>
      <c r="G52" s="19">
        <f t="shared" si="0"/>
        <v>64</v>
      </c>
      <c r="H52" s="19">
        <f t="shared" si="1"/>
        <v>539292000</v>
      </c>
    </row>
    <row r="53" spans="1:8" ht="12.75" customHeight="1">
      <c r="A53" s="20">
        <v>39</v>
      </c>
      <c r="B53" s="13" t="s">
        <v>403</v>
      </c>
      <c r="C53" s="19">
        <v>17</v>
      </c>
      <c r="D53" s="19">
        <v>5</v>
      </c>
      <c r="E53" s="19">
        <v>3</v>
      </c>
      <c r="F53" s="19">
        <v>4</v>
      </c>
      <c r="G53" s="19">
        <f t="shared" si="0"/>
        <v>29</v>
      </c>
      <c r="H53" s="19">
        <f t="shared" si="1"/>
        <v>248570400</v>
      </c>
    </row>
    <row r="54" spans="1:8" ht="15.75" customHeight="1">
      <c r="A54" s="21"/>
      <c r="B54" s="19" t="s">
        <v>24</v>
      </c>
      <c r="C54" s="19">
        <f t="shared" ref="C54:H54" si="2">SUM(C2:C53)</f>
        <v>1361</v>
      </c>
      <c r="D54" s="19">
        <f t="shared" si="2"/>
        <v>5255</v>
      </c>
      <c r="E54" s="19">
        <f t="shared" si="2"/>
        <v>1317</v>
      </c>
      <c r="F54" s="19">
        <f t="shared" si="2"/>
        <v>2310</v>
      </c>
      <c r="G54" s="19">
        <f t="shared" si="2"/>
        <v>10543</v>
      </c>
      <c r="H54" s="19">
        <f t="shared" si="2"/>
        <v>76436911200</v>
      </c>
    </row>
    <row r="55" spans="1:8">
      <c r="B55" s="4" t="s">
        <v>421</v>
      </c>
    </row>
    <row r="56" spans="1:8">
      <c r="G56" s="6"/>
    </row>
  </sheetData>
  <phoneticPr fontId="41" type="noConversion"/>
  <pageMargins left="0.51" right="0.39" top="0.73" bottom="0.22" header="0.17" footer="0.17"/>
  <pageSetup scale="97" orientation="portrait" r:id="rId1"/>
  <headerFooter alignWithMargins="0">
    <oddHeader>&amp;C&amp;"Times New Roman,Bold"&amp;20Shaxda Mushaharka Shaqaalaha &amp; Ciidamadda ee 2011.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1"/>
  <sheetViews>
    <sheetView view="pageBreakPreview" topLeftCell="B1" zoomScale="59" zoomScaleSheetLayoutView="59" workbookViewId="0">
      <selection activeCell="K19" sqref="K19"/>
    </sheetView>
  </sheetViews>
  <sheetFormatPr defaultRowHeight="12.75"/>
  <cols>
    <col min="1" max="1" width="14.33203125" customWidth="1"/>
    <col min="2" max="2" width="77.6640625" customWidth="1"/>
    <col min="3" max="3" width="0.1640625" hidden="1" customWidth="1"/>
    <col min="4" max="7" width="9.33203125" hidden="1" customWidth="1"/>
    <col min="8" max="8" width="30.5" hidden="1" customWidth="1"/>
    <col min="9" max="9" width="3.1640625" hidden="1" customWidth="1"/>
    <col min="10" max="10" width="40" customWidth="1"/>
    <col min="11" max="11" width="40.5" customWidth="1"/>
    <col min="12" max="12" width="36" customWidth="1"/>
  </cols>
  <sheetData>
    <row r="1" spans="1:12" ht="35.25" customHeight="1">
      <c r="A1" s="54" t="s">
        <v>40</v>
      </c>
      <c r="B1" s="55" t="s">
        <v>45</v>
      </c>
      <c r="C1" s="56" t="s">
        <v>2</v>
      </c>
      <c r="D1" s="56" t="s">
        <v>43</v>
      </c>
      <c r="E1" s="56" t="s">
        <v>50</v>
      </c>
      <c r="F1" s="56" t="s">
        <v>65</v>
      </c>
      <c r="G1" s="57" t="s">
        <v>62</v>
      </c>
      <c r="H1" s="57" t="s">
        <v>119</v>
      </c>
      <c r="I1" s="57" t="s">
        <v>120</v>
      </c>
      <c r="J1" s="57" t="s">
        <v>151</v>
      </c>
      <c r="K1" s="57" t="s">
        <v>257</v>
      </c>
      <c r="L1" s="56" t="s">
        <v>209</v>
      </c>
    </row>
    <row r="2" spans="1:12" ht="26.25" customHeight="1">
      <c r="A2" s="25">
        <v>1</v>
      </c>
      <c r="B2" s="24" t="s">
        <v>91</v>
      </c>
      <c r="C2" s="24" t="e">
        <f>'011-012'!#REF!</f>
        <v>#REF!</v>
      </c>
      <c r="D2" s="24">
        <f>'011-012'!C7</f>
        <v>0</v>
      </c>
      <c r="E2" s="24">
        <f>'011-012'!C7</f>
        <v>0</v>
      </c>
      <c r="F2" s="24">
        <f>'011-012'!D7</f>
        <v>0</v>
      </c>
      <c r="G2" s="27">
        <f>'011-012'!E4</f>
        <v>2600419200</v>
      </c>
      <c r="H2" s="27">
        <f>'011-012'!F4</f>
        <v>2600419200</v>
      </c>
      <c r="I2" s="27">
        <v>2600419200</v>
      </c>
      <c r="J2" s="27">
        <v>2600419200</v>
      </c>
      <c r="K2" s="27">
        <f>'011-012'!I7</f>
        <v>819000000</v>
      </c>
      <c r="L2" s="24">
        <f>K2-J2</f>
        <v>-1781419200</v>
      </c>
    </row>
    <row r="3" spans="1:12" ht="26.25" customHeight="1">
      <c r="A3" s="25" t="s">
        <v>70</v>
      </c>
      <c r="B3" s="24" t="s">
        <v>90</v>
      </c>
      <c r="C3" s="24" t="e">
        <f>'011-012'!#REF!</f>
        <v>#REF!</v>
      </c>
      <c r="D3" s="24" t="e">
        <f>'011-012'!#REF!</f>
        <v>#REF!</v>
      </c>
      <c r="E3" s="24">
        <f>'011-012'!C21</f>
        <v>1189000000</v>
      </c>
      <c r="F3" s="24">
        <f>'011-012'!D21</f>
        <v>1151200000</v>
      </c>
      <c r="G3" s="27">
        <f>'011-012'!E21</f>
        <v>1151200000</v>
      </c>
      <c r="H3" s="27">
        <f>'011-012'!F18:F18</f>
        <v>1151200000</v>
      </c>
      <c r="I3" s="27">
        <v>1151200000</v>
      </c>
      <c r="J3" s="27">
        <v>1151200000</v>
      </c>
      <c r="K3" s="27">
        <f>'011-012'!I21</f>
        <v>585000000</v>
      </c>
      <c r="L3" s="24">
        <f t="shared" ref="L3:L54" si="0">K3-J3</f>
        <v>-566200000</v>
      </c>
    </row>
    <row r="4" spans="1:12" ht="26.25" customHeight="1">
      <c r="A4" s="25" t="s">
        <v>69</v>
      </c>
      <c r="B4" s="24" t="s">
        <v>203</v>
      </c>
      <c r="C4" s="24"/>
      <c r="D4" s="24"/>
      <c r="E4" s="24"/>
      <c r="F4" s="24">
        <v>0</v>
      </c>
      <c r="G4" s="27" t="e">
        <f>'013'!D25</f>
        <v>#REF!</v>
      </c>
      <c r="H4" s="27">
        <v>283464717</v>
      </c>
      <c r="I4" s="27" t="e">
        <f>'013'!F25</f>
        <v>#REF!</v>
      </c>
      <c r="J4" s="27">
        <v>379488642</v>
      </c>
      <c r="K4" s="27" t="e">
        <f>'013'!H34</f>
        <v>#REF!</v>
      </c>
      <c r="L4" s="24" t="e">
        <f t="shared" si="0"/>
        <v>#REF!</v>
      </c>
    </row>
    <row r="5" spans="1:12" ht="26.25" customHeight="1">
      <c r="A5" s="25">
        <v>2</v>
      </c>
      <c r="B5" s="24" t="s">
        <v>88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'021'!G52</f>
        <v>#REF!</v>
      </c>
      <c r="G5" s="27" t="e">
        <f>'021'!H52</f>
        <v>#REF!</v>
      </c>
      <c r="H5" s="27" t="e">
        <f>'021'!I52</f>
        <v>#REF!</v>
      </c>
      <c r="I5" s="27" t="e">
        <f>'021'!J52</f>
        <v>#REF!</v>
      </c>
      <c r="J5" s="27">
        <v>6088620400</v>
      </c>
      <c r="K5" s="27">
        <f>'021'!M52</f>
        <v>15299266400</v>
      </c>
      <c r="L5" s="24">
        <f t="shared" si="0"/>
        <v>9210646000</v>
      </c>
    </row>
    <row r="6" spans="1:12" ht="26.25" customHeight="1">
      <c r="A6" s="25">
        <v>3</v>
      </c>
      <c r="B6" s="24" t="s">
        <v>89</v>
      </c>
      <c r="C6" s="24" t="e">
        <f>'031'!#REF!</f>
        <v>#REF!</v>
      </c>
      <c r="D6" s="24" t="e">
        <f>'031'!#REF!</f>
        <v>#REF!</v>
      </c>
      <c r="E6" s="24" t="e">
        <f>'031'!#REF!</f>
        <v>#REF!</v>
      </c>
      <c r="F6" s="24" t="e">
        <f>'031'!#REF!</f>
        <v>#REF!</v>
      </c>
      <c r="G6" s="27" t="e">
        <f>'031'!#REF!</f>
        <v>#REF!</v>
      </c>
      <c r="H6" s="27" t="e">
        <f>'031'!#REF!</f>
        <v>#REF!</v>
      </c>
      <c r="I6" s="27" t="e">
        <f>'031'!#REF!</f>
        <v>#REF!</v>
      </c>
      <c r="J6" s="27">
        <v>6555058600</v>
      </c>
      <c r="K6" s="27">
        <f>'031'!L55</f>
        <v>14149890400</v>
      </c>
      <c r="L6" s="24">
        <f t="shared" si="0"/>
        <v>7594831800</v>
      </c>
    </row>
    <row r="7" spans="1:12" ht="26.25" customHeight="1">
      <c r="A7" s="25">
        <v>4</v>
      </c>
      <c r="B7" s="24" t="s">
        <v>202</v>
      </c>
      <c r="C7" s="24" t="e">
        <f>'041'!#REF!</f>
        <v>#REF!</v>
      </c>
      <c r="D7" s="24" t="e">
        <f>'041'!#REF!</f>
        <v>#REF!</v>
      </c>
      <c r="E7" s="24" t="e">
        <f>'041'!#REF!</f>
        <v>#REF!</v>
      </c>
      <c r="F7" s="24" t="e">
        <f>'041'!#REF!</f>
        <v>#REF!</v>
      </c>
      <c r="G7" s="27" t="e">
        <f>'041'!#REF!</f>
        <v>#REF!</v>
      </c>
      <c r="H7" s="27" t="e">
        <f>'041'!#REF!</f>
        <v>#REF!</v>
      </c>
      <c r="I7" s="27" t="e">
        <f>'041'!#REF!</f>
        <v>#REF!</v>
      </c>
      <c r="J7" s="27">
        <v>1114391200</v>
      </c>
      <c r="K7" s="27">
        <f>'041'!L47</f>
        <v>1191980080</v>
      </c>
      <c r="L7" s="24">
        <f t="shared" si="0"/>
        <v>77588880</v>
      </c>
    </row>
    <row r="8" spans="1:12" ht="26.25" customHeight="1">
      <c r="A8" s="25">
        <v>5</v>
      </c>
      <c r="B8" s="24" t="s">
        <v>423</v>
      </c>
      <c r="C8" s="24" t="e">
        <f>'051'!#REF!</f>
        <v>#REF!</v>
      </c>
      <c r="D8" s="24" t="e">
        <f>'051'!#REF!</f>
        <v>#REF!</v>
      </c>
      <c r="E8" s="24" t="e">
        <f>'051'!#REF!</f>
        <v>#REF!</v>
      </c>
      <c r="F8" s="24">
        <v>463194400</v>
      </c>
      <c r="G8" s="27" t="e">
        <f>'051'!#REF!</f>
        <v>#REF!</v>
      </c>
      <c r="H8" s="27" t="e">
        <f>'051'!#REF!</f>
        <v>#REF!</v>
      </c>
      <c r="I8" s="27" t="e">
        <f>'051'!#REF!</f>
        <v>#REF!</v>
      </c>
      <c r="J8" s="27">
        <v>854051200</v>
      </c>
      <c r="K8" s="27">
        <f>'051'!L50</f>
        <v>1368495200</v>
      </c>
      <c r="L8" s="24">
        <f t="shared" si="0"/>
        <v>514444000</v>
      </c>
    </row>
    <row r="9" spans="1:12" ht="26.25" customHeight="1">
      <c r="A9" s="25">
        <v>6</v>
      </c>
      <c r="B9" s="24" t="s">
        <v>83</v>
      </c>
      <c r="C9" s="24" t="e">
        <f>'061'!#REF!</f>
        <v>#REF!</v>
      </c>
      <c r="D9" s="24" t="e">
        <f>'061'!#REF!</f>
        <v>#REF!</v>
      </c>
      <c r="E9" s="24" t="e">
        <f>'061'!#REF!</f>
        <v>#REF!</v>
      </c>
      <c r="F9" s="24">
        <v>516977600</v>
      </c>
      <c r="G9" s="27" t="e">
        <f>'061'!#REF!</f>
        <v>#REF!</v>
      </c>
      <c r="H9" s="27" t="e">
        <f>'061'!#REF!</f>
        <v>#REF!</v>
      </c>
      <c r="I9" s="27" t="e">
        <f>'061'!#REF!</f>
        <v>#REF!</v>
      </c>
      <c r="J9" s="27">
        <v>907223322</v>
      </c>
      <c r="K9" s="27">
        <f>'061'!L54</f>
        <v>1331654085.4000001</v>
      </c>
      <c r="L9" s="24">
        <f t="shared" si="0"/>
        <v>424430763.4000001</v>
      </c>
    </row>
    <row r="10" spans="1:12" ht="26.25" customHeight="1">
      <c r="A10" s="25">
        <v>7</v>
      </c>
      <c r="B10" s="24" t="s">
        <v>82</v>
      </c>
      <c r="C10" s="24">
        <f>'071'!D31</f>
        <v>0</v>
      </c>
      <c r="D10" s="24">
        <f>'071'!E31</f>
        <v>0</v>
      </c>
      <c r="E10" s="24">
        <f>'071'!F31</f>
        <v>0</v>
      </c>
      <c r="F10" s="24">
        <v>496375200</v>
      </c>
      <c r="G10" s="27">
        <f>'071'!I31:I31</f>
        <v>0</v>
      </c>
      <c r="H10" s="27">
        <f>'071'!J31</f>
        <v>0</v>
      </c>
      <c r="I10" s="27">
        <f>'071'!K31</f>
        <v>14151200</v>
      </c>
      <c r="J10" s="27">
        <v>1758966400</v>
      </c>
      <c r="K10" s="27">
        <f>'071'!M48</f>
        <v>1475962080</v>
      </c>
      <c r="L10" s="24">
        <f t="shared" si="0"/>
        <v>-283004320</v>
      </c>
    </row>
    <row r="11" spans="1:12" ht="26.25" customHeight="1">
      <c r="A11" s="25">
        <v>8</v>
      </c>
      <c r="B11" s="24" t="s">
        <v>319</v>
      </c>
      <c r="C11" s="24" t="e">
        <f>'081'!#REF!</f>
        <v>#REF!</v>
      </c>
      <c r="D11" s="24" t="e">
        <f>'081'!#REF!</f>
        <v>#REF!</v>
      </c>
      <c r="E11" s="24" t="e">
        <f>'081'!#REF!</f>
        <v>#REF!</v>
      </c>
      <c r="F11" s="24" t="e">
        <f>'081'!#REF!</f>
        <v>#REF!</v>
      </c>
      <c r="G11" s="27" t="e">
        <f>'081'!#REF!</f>
        <v>#REF!</v>
      </c>
      <c r="H11" s="27" t="e">
        <f>'081'!#REF!</f>
        <v>#REF!</v>
      </c>
      <c r="I11" s="27" t="e">
        <f>'081'!#REF!</f>
        <v>#REF!</v>
      </c>
      <c r="J11" s="27">
        <v>13195562882</v>
      </c>
      <c r="K11" s="27" t="e">
        <f>'081'!K59</f>
        <v>#REF!</v>
      </c>
      <c r="L11" s="24" t="e">
        <f t="shared" si="0"/>
        <v>#REF!</v>
      </c>
    </row>
    <row r="12" spans="1:12" ht="26.25" customHeight="1">
      <c r="A12" s="25" t="s">
        <v>14</v>
      </c>
      <c r="B12" s="24" t="s">
        <v>189</v>
      </c>
      <c r="C12" s="24">
        <f>'331'!D36</f>
        <v>0</v>
      </c>
      <c r="D12" s="24">
        <f>'331'!E36</f>
        <v>0</v>
      </c>
      <c r="E12" s="24">
        <f>'331'!F36</f>
        <v>0</v>
      </c>
      <c r="F12" s="24">
        <v>116932000</v>
      </c>
      <c r="G12" s="27">
        <f>'331'!H36</f>
        <v>0</v>
      </c>
      <c r="H12" s="27">
        <f>'331'!I36</f>
        <v>0</v>
      </c>
      <c r="I12" s="27">
        <f>'331'!J36</f>
        <v>0</v>
      </c>
      <c r="J12" s="27">
        <v>4324324812</v>
      </c>
      <c r="K12" s="27">
        <f>'082'!M53</f>
        <v>7378682713.0714293</v>
      </c>
      <c r="L12" s="24">
        <f t="shared" si="0"/>
        <v>3054357901.0714293</v>
      </c>
    </row>
    <row r="13" spans="1:12" ht="26.25" customHeight="1">
      <c r="A13" s="25">
        <v>9</v>
      </c>
      <c r="B13" s="24" t="s">
        <v>121</v>
      </c>
      <c r="C13" s="24" t="e">
        <f>'091'!#REF!</f>
        <v>#REF!</v>
      </c>
      <c r="D13" s="24" t="e">
        <f>'091'!#REF!</f>
        <v>#REF!</v>
      </c>
      <c r="E13" s="24" t="e">
        <f>'091'!#REF!</f>
        <v>#REF!</v>
      </c>
      <c r="F13" s="24">
        <v>1870580000</v>
      </c>
      <c r="G13" s="27" t="e">
        <f>'091'!#REF!</f>
        <v>#REF!</v>
      </c>
      <c r="H13" s="27" t="e">
        <f>'091'!#REF!</f>
        <v>#REF!</v>
      </c>
      <c r="I13" s="27" t="e">
        <f>'091'!#REF!</f>
        <v>#REF!</v>
      </c>
      <c r="J13" s="27">
        <v>4597004640</v>
      </c>
      <c r="K13" s="27">
        <f>'091'!M52</f>
        <v>6734909088</v>
      </c>
      <c r="L13" s="24">
        <f t="shared" si="0"/>
        <v>2137904448</v>
      </c>
    </row>
    <row r="14" spans="1:12" ht="26.25" customHeight="1">
      <c r="A14" s="25">
        <v>10</v>
      </c>
      <c r="B14" s="24" t="s">
        <v>329</v>
      </c>
      <c r="C14" s="24" t="e">
        <f>'101'!D30</f>
        <v>#REF!</v>
      </c>
      <c r="D14" s="24" t="e">
        <f>'101'!E30</f>
        <v>#REF!</v>
      </c>
      <c r="E14" s="24" t="e">
        <f>'101'!F30</f>
        <v>#REF!</v>
      </c>
      <c r="F14" s="24">
        <v>235824000</v>
      </c>
      <c r="G14" s="27" t="e">
        <f>'101'!H30</f>
        <v>#REF!</v>
      </c>
      <c r="H14" s="27" t="e">
        <f>'101'!I30</f>
        <v>#REF!</v>
      </c>
      <c r="I14" s="27" t="e">
        <f>'101'!J30</f>
        <v>#REF!</v>
      </c>
      <c r="J14" s="27">
        <v>679875200</v>
      </c>
      <c r="K14" s="27">
        <f>'101'!M48</f>
        <v>934060859</v>
      </c>
      <c r="L14" s="24">
        <f t="shared" si="0"/>
        <v>254185659</v>
      </c>
    </row>
    <row r="15" spans="1:12" ht="26.25" customHeight="1">
      <c r="A15" s="25" t="s">
        <v>68</v>
      </c>
      <c r="B15" s="24" t="s">
        <v>201</v>
      </c>
      <c r="C15" s="24" t="e">
        <f>'102'!#REF!</f>
        <v>#REF!</v>
      </c>
      <c r="D15" s="24" t="e">
        <f>'102'!#REF!</f>
        <v>#REF!</v>
      </c>
      <c r="E15" s="24" t="e">
        <f>'102'!#REF!</f>
        <v>#REF!</v>
      </c>
      <c r="F15" s="24">
        <v>6290707200</v>
      </c>
      <c r="G15" s="24" t="e">
        <f>'102'!#REF!</f>
        <v>#REF!</v>
      </c>
      <c r="H15" s="24" t="e">
        <f>'102'!#REF!</f>
        <v>#REF!</v>
      </c>
      <c r="I15" s="24" t="e">
        <f>'102'!#REF!</f>
        <v>#REF!</v>
      </c>
      <c r="J15" s="27">
        <v>17366838836</v>
      </c>
      <c r="K15" s="24">
        <f>'102'!M59</f>
        <v>28586428370</v>
      </c>
      <c r="L15" s="24">
        <f t="shared" si="0"/>
        <v>11219589534</v>
      </c>
    </row>
    <row r="16" spans="1:12" ht="26.25" customHeight="1">
      <c r="A16" s="25" t="s">
        <v>192</v>
      </c>
      <c r="B16" s="24" t="s">
        <v>200</v>
      </c>
      <c r="C16" s="24" t="e">
        <f>#REF!</f>
        <v>#REF!</v>
      </c>
      <c r="D16" s="24" t="e">
        <f>#REF!</f>
        <v>#REF!</v>
      </c>
      <c r="E16" s="24" t="e">
        <f>#REF!</f>
        <v>#REF!</v>
      </c>
      <c r="F16" s="24">
        <v>1956383200</v>
      </c>
      <c r="G16" s="24" t="e">
        <f>#REF!</f>
        <v>#REF!</v>
      </c>
      <c r="H16" s="24" t="e">
        <f>#REF!</f>
        <v>#REF!</v>
      </c>
      <c r="I16" s="24" t="e">
        <f>#REF!</f>
        <v>#REF!</v>
      </c>
      <c r="J16" s="27">
        <v>4243360800</v>
      </c>
      <c r="K16" s="24">
        <f>'103'!L50</f>
        <v>5250228560</v>
      </c>
      <c r="L16" s="24">
        <f t="shared" si="0"/>
        <v>1006867760</v>
      </c>
    </row>
    <row r="17" spans="1:12" ht="26.25" customHeight="1">
      <c r="A17" s="25" t="s">
        <v>186</v>
      </c>
      <c r="B17" s="24" t="s">
        <v>194</v>
      </c>
      <c r="C17" s="24"/>
      <c r="D17" s="24"/>
      <c r="E17" s="24"/>
      <c r="F17" s="24"/>
      <c r="G17" s="27"/>
      <c r="H17" s="27"/>
      <c r="I17" s="27"/>
      <c r="J17" s="27">
        <v>235240000</v>
      </c>
      <c r="K17" s="27">
        <f>'104'!M49</f>
        <v>238129360</v>
      </c>
      <c r="L17" s="24">
        <f t="shared" si="0"/>
        <v>2889360</v>
      </c>
    </row>
    <row r="18" spans="1:12" ht="26.25" customHeight="1">
      <c r="A18" s="25" t="s">
        <v>185</v>
      </c>
      <c r="B18" s="24" t="s">
        <v>195</v>
      </c>
      <c r="C18" s="24"/>
      <c r="D18" s="24"/>
      <c r="E18" s="24"/>
      <c r="F18" s="24"/>
      <c r="G18" s="27"/>
      <c r="H18" s="27"/>
      <c r="I18" s="27"/>
      <c r="J18" s="27">
        <v>306784800</v>
      </c>
      <c r="K18" s="27">
        <f>'105'!N37</f>
        <v>346828800</v>
      </c>
      <c r="L18" s="24">
        <f t="shared" si="0"/>
        <v>40044000</v>
      </c>
    </row>
    <row r="19" spans="1:12" ht="26.25" customHeight="1">
      <c r="A19" s="25">
        <v>11</v>
      </c>
      <c r="B19" s="24" t="s">
        <v>112</v>
      </c>
      <c r="C19" s="24" t="e">
        <f>#REF!</f>
        <v>#REF!</v>
      </c>
      <c r="D19" s="24" t="e">
        <f>#REF!</f>
        <v>#REF!</v>
      </c>
      <c r="E19" s="24" t="e">
        <f>#REF!</f>
        <v>#REF!</v>
      </c>
      <c r="F19" s="24">
        <v>7253005000</v>
      </c>
      <c r="G19" s="27" t="e">
        <f>#REF!</f>
        <v>#REF!</v>
      </c>
      <c r="H19" s="27" t="e">
        <f>#REF!</f>
        <v>#REF!</v>
      </c>
      <c r="I19" s="27" t="e">
        <f>#REF!</f>
        <v>#REF!</v>
      </c>
      <c r="J19" s="27">
        <f>13678460159+911575954</f>
        <v>14590036113</v>
      </c>
      <c r="K19" s="27" t="e">
        <f>#REF!</f>
        <v>#REF!</v>
      </c>
      <c r="L19" s="24" t="e">
        <f t="shared" si="0"/>
        <v>#REF!</v>
      </c>
    </row>
    <row r="20" spans="1:12" ht="26.25" customHeight="1">
      <c r="A20" s="25" t="s">
        <v>190</v>
      </c>
      <c r="B20" s="24" t="s">
        <v>197</v>
      </c>
      <c r="C20" s="24" t="e">
        <f>'112'!#REF!</f>
        <v>#REF!</v>
      </c>
      <c r="D20" s="24" t="e">
        <f>'112'!#REF!</f>
        <v>#REF!</v>
      </c>
      <c r="E20" s="24" t="e">
        <f>'112'!#REF!</f>
        <v>#REF!</v>
      </c>
      <c r="F20" s="24">
        <v>15499411200</v>
      </c>
      <c r="G20" s="27" t="e">
        <f>'112'!#REF!</f>
        <v>#REF!</v>
      </c>
      <c r="H20" s="27" t="e">
        <f>'112'!#REF!</f>
        <v>#REF!</v>
      </c>
      <c r="I20" s="27" t="e">
        <f>'112'!#REF!</f>
        <v>#REF!</v>
      </c>
      <c r="J20" s="27">
        <v>33622078053</v>
      </c>
      <c r="K20" s="27">
        <f>'112'!M55</f>
        <v>59996703163</v>
      </c>
      <c r="L20" s="24">
        <f t="shared" si="0"/>
        <v>26374625110</v>
      </c>
    </row>
    <row r="21" spans="1:12" ht="26.25" customHeight="1">
      <c r="A21" s="25" t="s">
        <v>71</v>
      </c>
      <c r="B21" s="24" t="s">
        <v>72</v>
      </c>
      <c r="C21" s="24"/>
      <c r="D21" s="24"/>
      <c r="E21" s="24"/>
      <c r="F21" s="24">
        <v>0</v>
      </c>
      <c r="G21" s="27" t="e">
        <f>'113'!#REF!</f>
        <v>#REF!</v>
      </c>
      <c r="H21" s="27" t="e">
        <f>'113'!#REF!</f>
        <v>#REF!</v>
      </c>
      <c r="I21" s="27" t="e">
        <f>'113'!#REF!</f>
        <v>#REF!</v>
      </c>
      <c r="J21" s="27">
        <v>2161379387</v>
      </c>
      <c r="K21" s="27">
        <f>'113'!I50</f>
        <v>6119452417.3999996</v>
      </c>
      <c r="L21" s="24">
        <f t="shared" si="0"/>
        <v>3958073030.3999996</v>
      </c>
    </row>
    <row r="22" spans="1:12" ht="26.25" customHeight="1">
      <c r="A22" s="25" t="s">
        <v>193</v>
      </c>
      <c r="B22" s="24" t="s">
        <v>196</v>
      </c>
      <c r="C22" s="24"/>
      <c r="D22" s="24"/>
      <c r="E22" s="24"/>
      <c r="F22" s="24"/>
      <c r="G22" s="27"/>
      <c r="H22" s="27"/>
      <c r="I22" s="27"/>
      <c r="J22" s="27">
        <v>289800000</v>
      </c>
      <c r="K22" s="27" t="e">
        <f>#REF!</f>
        <v>#REF!</v>
      </c>
      <c r="L22" s="24" t="e">
        <f t="shared" si="0"/>
        <v>#REF!</v>
      </c>
    </row>
    <row r="23" spans="1:12" ht="26.25" customHeight="1">
      <c r="A23" s="25" t="s">
        <v>352</v>
      </c>
      <c r="B23" s="24" t="s">
        <v>139</v>
      </c>
      <c r="C23" s="24"/>
      <c r="D23" s="24"/>
      <c r="E23" s="24"/>
      <c r="F23" s="24"/>
      <c r="G23" s="27"/>
      <c r="H23" s="27"/>
      <c r="I23" s="27"/>
      <c r="J23" s="27">
        <v>3053688406</v>
      </c>
      <c r="K23" s="27">
        <f>'115'!K48</f>
        <v>2591135846</v>
      </c>
      <c r="L23" s="24">
        <f t="shared" si="0"/>
        <v>-462552560</v>
      </c>
    </row>
    <row r="24" spans="1:12" ht="26.25" customHeight="1">
      <c r="A24" s="25">
        <v>12</v>
      </c>
      <c r="B24" s="24" t="s">
        <v>87</v>
      </c>
      <c r="C24" s="24" t="e">
        <f>#REF!</f>
        <v>#REF!</v>
      </c>
      <c r="D24" s="24" t="e">
        <f>#REF!</f>
        <v>#REF!</v>
      </c>
      <c r="E24" s="24" t="e">
        <f>#REF!</f>
        <v>#REF!</v>
      </c>
      <c r="F24" s="24">
        <v>1120164000</v>
      </c>
      <c r="G24" s="24" t="e">
        <f>#REF!</f>
        <v>#REF!</v>
      </c>
      <c r="H24" s="24">
        <v>2129624000</v>
      </c>
      <c r="I24" s="24">
        <v>2777308800</v>
      </c>
      <c r="J24" s="27">
        <v>2829318000</v>
      </c>
      <c r="K24" s="24">
        <f>'121'!M59</f>
        <v>4743921600</v>
      </c>
      <c r="L24" s="24">
        <f t="shared" si="0"/>
        <v>1914603600</v>
      </c>
    </row>
    <row r="25" spans="1:12" ht="26.25" customHeight="1">
      <c r="A25" s="25" t="s">
        <v>191</v>
      </c>
      <c r="B25" s="24" t="s">
        <v>75</v>
      </c>
      <c r="C25" s="24"/>
      <c r="D25" s="24"/>
      <c r="E25" s="24"/>
      <c r="F25" s="24">
        <v>0</v>
      </c>
      <c r="G25" s="24" t="e">
        <f>#REF!</f>
        <v>#REF!</v>
      </c>
      <c r="H25" s="24" t="e">
        <f>#REF!</f>
        <v>#REF!</v>
      </c>
      <c r="I25" s="24" t="e">
        <f>#REF!</f>
        <v>#REF!</v>
      </c>
      <c r="J25" s="27">
        <v>2962071366</v>
      </c>
      <c r="K25" s="24" t="e">
        <f>#REF!</f>
        <v>#REF!</v>
      </c>
      <c r="L25" s="24" t="e">
        <f t="shared" si="0"/>
        <v>#REF!</v>
      </c>
    </row>
    <row r="26" spans="1:12" ht="26.25" customHeight="1">
      <c r="A26" s="25">
        <v>13</v>
      </c>
      <c r="B26" s="24" t="s">
        <v>199</v>
      </c>
      <c r="C26" s="24" t="e">
        <f>#REF!</f>
        <v>#REF!</v>
      </c>
      <c r="D26" s="24" t="e">
        <f>#REF!</f>
        <v>#REF!</v>
      </c>
      <c r="E26" s="24" t="e">
        <f>#REF!</f>
        <v>#REF!</v>
      </c>
      <c r="F26" s="24">
        <v>8198449200</v>
      </c>
      <c r="G26" s="24" t="e">
        <f>#REF!</f>
        <v>#REF!</v>
      </c>
      <c r="H26" s="24" t="e">
        <f>#REF!</f>
        <v>#REF!</v>
      </c>
      <c r="I26" s="24" t="e">
        <f>#REF!</f>
        <v>#REF!</v>
      </c>
      <c r="J26" s="27">
        <v>12346564127</v>
      </c>
      <c r="K26" s="24">
        <f>'131'!M46</f>
        <v>23225587505.985714</v>
      </c>
      <c r="L26" s="24">
        <f t="shared" si="0"/>
        <v>10879023378.985714</v>
      </c>
    </row>
    <row r="27" spans="1:12" ht="26.25" customHeight="1">
      <c r="A27" s="25" t="s">
        <v>22</v>
      </c>
      <c r="B27" s="24" t="s">
        <v>60</v>
      </c>
      <c r="C27" s="24" t="e">
        <f>#REF!</f>
        <v>#REF!</v>
      </c>
      <c r="D27" s="24" t="e">
        <f>#REF!</f>
        <v>#REF!</v>
      </c>
      <c r="E27" s="24" t="e">
        <f>#REF!</f>
        <v>#REF!</v>
      </c>
      <c r="F27" s="28">
        <v>39464354920</v>
      </c>
      <c r="G27" s="28" t="e">
        <f>#REF!</f>
        <v>#REF!</v>
      </c>
      <c r="H27" s="28" t="e">
        <f>#REF!</f>
        <v>#REF!</v>
      </c>
      <c r="I27" s="28" t="e">
        <f>#REF!</f>
        <v>#REF!</v>
      </c>
      <c r="J27" s="27">
        <v>87580662108</v>
      </c>
      <c r="K27" s="28">
        <f>'132'!M51</f>
        <v>132466284397.14285</v>
      </c>
      <c r="L27" s="24">
        <f t="shared" si="0"/>
        <v>44885622289.142853</v>
      </c>
    </row>
    <row r="28" spans="1:12" ht="26.25" customHeight="1">
      <c r="A28" s="25">
        <v>14</v>
      </c>
      <c r="B28" s="24" t="s">
        <v>325</v>
      </c>
      <c r="C28" s="24" t="e">
        <f>'141'!#REF!</f>
        <v>#REF!</v>
      </c>
      <c r="D28" s="24" t="e">
        <f>'141'!#REF!</f>
        <v>#REF!</v>
      </c>
      <c r="E28" s="24" t="e">
        <f>'141'!#REF!</f>
        <v>#REF!</v>
      </c>
      <c r="F28" s="24">
        <v>296182400</v>
      </c>
      <c r="G28" s="24" t="e">
        <f>'141'!#REF!</f>
        <v>#REF!</v>
      </c>
      <c r="H28" s="24" t="e">
        <f>'141'!#REF!</f>
        <v>#REF!</v>
      </c>
      <c r="I28" s="24" t="e">
        <f>'141'!#REF!</f>
        <v>#REF!</v>
      </c>
      <c r="J28" s="27">
        <v>1778123200</v>
      </c>
      <c r="K28" s="24">
        <f>'141'!M46</f>
        <v>1674966400</v>
      </c>
      <c r="L28" s="24">
        <f t="shared" si="0"/>
        <v>-103156800</v>
      </c>
    </row>
    <row r="29" spans="1:12" ht="26.25" customHeight="1">
      <c r="A29" s="25">
        <v>15</v>
      </c>
      <c r="B29" s="24" t="s">
        <v>80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>
        <v>14395601571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s="27">
        <v>18153248520</v>
      </c>
      <c r="K29" s="24" t="e">
        <f>'151'!M73</f>
        <v>#REF!</v>
      </c>
      <c r="L29" s="24" t="e">
        <f t="shared" si="0"/>
        <v>#REF!</v>
      </c>
    </row>
    <row r="30" spans="1:12" ht="26.25" customHeight="1">
      <c r="A30" s="25">
        <v>16</v>
      </c>
      <c r="B30" s="24" t="s">
        <v>320</v>
      </c>
      <c r="C30" s="24" t="e">
        <f>'161'!D36</f>
        <v>#REF!</v>
      </c>
      <c r="D30" s="24" t="e">
        <f>'161'!E36</f>
        <v>#REF!</v>
      </c>
      <c r="E30" s="24" t="e">
        <f>'161'!F36</f>
        <v>#REF!</v>
      </c>
      <c r="F30" s="24">
        <v>869997600</v>
      </c>
      <c r="G30" s="24" t="e">
        <f>'161'!H36</f>
        <v>#REF!</v>
      </c>
      <c r="H30" s="24" t="e">
        <f>'161'!I36</f>
        <v>#REF!</v>
      </c>
      <c r="I30" s="24" t="e">
        <f>'161'!J36</f>
        <v>#REF!</v>
      </c>
      <c r="J30" s="27">
        <f>1688550948+791945160+660502400</f>
        <v>3140998508</v>
      </c>
      <c r="K30" s="24">
        <f>'161'!M43</f>
        <v>3943026145.0714283</v>
      </c>
      <c r="L30" s="24">
        <f t="shared" si="0"/>
        <v>802027637.0714283</v>
      </c>
    </row>
    <row r="31" spans="1:12" ht="26.25" customHeight="1">
      <c r="A31" s="25">
        <v>17</v>
      </c>
      <c r="B31" s="24" t="s">
        <v>321</v>
      </c>
      <c r="C31" s="24" t="e">
        <f>'171'!#REF!</f>
        <v>#REF!</v>
      </c>
      <c r="D31" s="24" t="e">
        <f>'171'!#REF!</f>
        <v>#REF!</v>
      </c>
      <c r="E31" s="24" t="e">
        <f>'171'!#REF!</f>
        <v>#REF!</v>
      </c>
      <c r="F31" s="24">
        <v>522060400</v>
      </c>
      <c r="G31" s="24" t="e">
        <f>'171'!#REF!</f>
        <v>#REF!</v>
      </c>
      <c r="H31" s="24" t="e">
        <f>'171'!#REF!</f>
        <v>#REF!</v>
      </c>
      <c r="I31" s="24" t="e">
        <f>'171'!#REF!</f>
        <v>#REF!</v>
      </c>
      <c r="J31" s="27">
        <v>1512814108</v>
      </c>
      <c r="K31" s="24">
        <f>'171'!N50</f>
        <v>1347482415.5999999</v>
      </c>
      <c r="L31" s="24">
        <f t="shared" si="0"/>
        <v>-165331692.4000001</v>
      </c>
    </row>
    <row r="32" spans="1:12" ht="26.25" customHeight="1">
      <c r="A32" s="25">
        <v>18</v>
      </c>
      <c r="B32" s="24" t="s">
        <v>324</v>
      </c>
      <c r="C32" s="24" t="e">
        <f>#REF!</f>
        <v>#REF!</v>
      </c>
      <c r="D32" s="24" t="e">
        <f>#REF!</f>
        <v>#REF!</v>
      </c>
      <c r="E32" s="24" t="e">
        <f>#REF!</f>
        <v>#REF!</v>
      </c>
      <c r="F32" s="24">
        <v>887002400</v>
      </c>
      <c r="G32" s="24" t="e">
        <f>#REF!</f>
        <v>#REF!</v>
      </c>
      <c r="H32" s="24" t="e">
        <f>#REF!</f>
        <v>#REF!</v>
      </c>
      <c r="I32" s="24" t="e">
        <f>#REF!</f>
        <v>#REF!</v>
      </c>
      <c r="J32" s="27">
        <v>1464065118</v>
      </c>
      <c r="K32" s="24" t="e">
        <f>'181'!M50</f>
        <v>#REF!</v>
      </c>
      <c r="L32" s="24" t="e">
        <f t="shared" si="0"/>
        <v>#REF!</v>
      </c>
    </row>
    <row r="33" spans="1:12" ht="26.25" customHeight="1">
      <c r="A33" s="25">
        <v>19</v>
      </c>
      <c r="B33" s="24" t="s">
        <v>97</v>
      </c>
      <c r="C33" s="24" t="e">
        <f>'191'!D30</f>
        <v>#REF!</v>
      </c>
      <c r="D33" s="24" t="e">
        <f>'191'!E30</f>
        <v>#REF!</v>
      </c>
      <c r="E33" s="24" t="e">
        <f>'191'!F30</f>
        <v>#REF!</v>
      </c>
      <c r="F33" s="24">
        <v>563710400</v>
      </c>
      <c r="G33" s="24" t="e">
        <f>'191'!H30</f>
        <v>#REF!</v>
      </c>
      <c r="H33" s="24" t="e">
        <f>'191'!I30</f>
        <v>#REF!</v>
      </c>
      <c r="I33" s="24" t="e">
        <f>'191'!J30</f>
        <v>#REF!</v>
      </c>
      <c r="J33" s="27">
        <v>1637448296</v>
      </c>
      <c r="K33" s="24">
        <f>'191'!M51</f>
        <v>2221154813</v>
      </c>
      <c r="L33" s="24">
        <f t="shared" si="0"/>
        <v>583706517</v>
      </c>
    </row>
    <row r="34" spans="1:12" ht="26.25" customHeight="1">
      <c r="A34" s="25">
        <v>20</v>
      </c>
      <c r="B34" s="24" t="s">
        <v>322</v>
      </c>
      <c r="C34" s="24">
        <f>'201'!D41</f>
        <v>0</v>
      </c>
      <c r="D34" s="24">
        <f>'201'!E41</f>
        <v>0</v>
      </c>
      <c r="E34" s="24">
        <f>'201'!F41</f>
        <v>0</v>
      </c>
      <c r="F34" s="24">
        <v>644624000</v>
      </c>
      <c r="G34" s="24">
        <f>'201'!H41</f>
        <v>0</v>
      </c>
      <c r="H34" s="24">
        <f>'201'!I41</f>
        <v>0</v>
      </c>
      <c r="I34" s="24">
        <f>'201'!J41</f>
        <v>0</v>
      </c>
      <c r="J34" s="27">
        <f>'[1]20'!L51</f>
        <v>3203181540</v>
      </c>
      <c r="K34" s="24">
        <f>'201'!M57</f>
        <v>2386681021</v>
      </c>
      <c r="L34" s="24">
        <f t="shared" si="0"/>
        <v>-816500519</v>
      </c>
    </row>
    <row r="35" spans="1:12" ht="26.25" customHeight="1">
      <c r="A35" s="25">
        <v>21</v>
      </c>
      <c r="B35" s="24" t="s">
        <v>86</v>
      </c>
      <c r="C35" s="24" t="e">
        <f>#REF!</f>
        <v>#REF!</v>
      </c>
      <c r="D35" s="24" t="e">
        <f>#REF!</f>
        <v>#REF!</v>
      </c>
      <c r="E35" s="24" t="e">
        <f>#REF!</f>
        <v>#REF!</v>
      </c>
      <c r="F35" s="24">
        <v>536919360</v>
      </c>
      <c r="G35" s="24" t="e">
        <f>#REF!</f>
        <v>#REF!</v>
      </c>
      <c r="H35" s="24" t="e">
        <f>#REF!</f>
        <v>#REF!</v>
      </c>
      <c r="I35" s="24" t="e">
        <f>#REF!</f>
        <v>#REF!</v>
      </c>
      <c r="J35" s="27">
        <v>3336099200</v>
      </c>
      <c r="K35" s="24">
        <f>'211'!M50</f>
        <v>4222564600</v>
      </c>
      <c r="L35" s="24">
        <f t="shared" si="0"/>
        <v>886465400</v>
      </c>
    </row>
    <row r="36" spans="1:12" ht="26.25" customHeight="1">
      <c r="A36" s="25">
        <v>22</v>
      </c>
      <c r="B36" s="24" t="s">
        <v>327</v>
      </c>
      <c r="C36" s="24" t="e">
        <f>#REF!</f>
        <v>#REF!</v>
      </c>
      <c r="D36" s="24" t="e">
        <f>#REF!</f>
        <v>#REF!</v>
      </c>
      <c r="E36" s="24" t="e">
        <f>#REF!</f>
        <v>#REF!</v>
      </c>
      <c r="F36" s="24">
        <v>7163075000</v>
      </c>
      <c r="G36" s="24" t="e">
        <f>#REF!</f>
        <v>#REF!</v>
      </c>
      <c r="H36" s="24" t="e">
        <f>#REF!</f>
        <v>#REF!</v>
      </c>
      <c r="I36" s="24" t="e">
        <f>#REF!</f>
        <v>#REF!</v>
      </c>
      <c r="J36" s="27">
        <f>'[1]22'!K47</f>
        <v>14633732140</v>
      </c>
      <c r="K36" s="24" t="e">
        <f>'221'!L66</f>
        <v>#REF!</v>
      </c>
      <c r="L36" s="24" t="e">
        <f t="shared" si="0"/>
        <v>#REF!</v>
      </c>
    </row>
    <row r="37" spans="1:12" ht="26.25" customHeight="1">
      <c r="A37" s="25">
        <v>23</v>
      </c>
      <c r="B37" s="24" t="s">
        <v>328</v>
      </c>
      <c r="C37" s="24" t="e">
        <f>'231'!#REF!</f>
        <v>#REF!</v>
      </c>
      <c r="D37" s="24" t="e">
        <f>'231'!#REF!</f>
        <v>#REF!</v>
      </c>
      <c r="E37" s="24" t="e">
        <f>'231'!#REF!</f>
        <v>#REF!</v>
      </c>
      <c r="F37" s="24">
        <v>4386348000</v>
      </c>
      <c r="G37" s="24" t="e">
        <f>'231'!#REF!</f>
        <v>#REF!</v>
      </c>
      <c r="H37" s="24" t="e">
        <f>'231'!#REF!</f>
        <v>#REF!</v>
      </c>
      <c r="I37" s="24" t="e">
        <f>'231'!#REF!</f>
        <v>#REF!</v>
      </c>
      <c r="J37" s="27">
        <v>8783810960</v>
      </c>
      <c r="K37" s="24">
        <f>'231'!K66</f>
        <v>16313294637.714287</v>
      </c>
      <c r="L37" s="24">
        <f t="shared" si="0"/>
        <v>7529483677.7142868</v>
      </c>
    </row>
    <row r="38" spans="1:12" ht="26.25" customHeight="1">
      <c r="A38" s="25">
        <v>24</v>
      </c>
      <c r="B38" s="24" t="s">
        <v>198</v>
      </c>
      <c r="C38" s="24" t="e">
        <f>#REF!</f>
        <v>#REF!</v>
      </c>
      <c r="D38" s="24" t="e">
        <f>#REF!</f>
        <v>#REF!</v>
      </c>
      <c r="E38" s="24" t="e">
        <f>#REF!</f>
        <v>#REF!</v>
      </c>
      <c r="F38" s="24">
        <v>414108000</v>
      </c>
      <c r="G38" s="24" t="e">
        <f>#REF!</f>
        <v>#REF!</v>
      </c>
      <c r="H38" s="24" t="e">
        <f>#REF!</f>
        <v>#REF!</v>
      </c>
      <c r="I38" s="24" t="e">
        <f>#REF!</f>
        <v>#REF!</v>
      </c>
      <c r="J38" s="27">
        <f>'[1]24'!K53</f>
        <v>893742585</v>
      </c>
      <c r="K38" s="24" t="e">
        <f>'241'!L50</f>
        <v>#REF!</v>
      </c>
      <c r="L38" s="24" t="e">
        <f t="shared" si="0"/>
        <v>#REF!</v>
      </c>
    </row>
    <row r="39" spans="1:12" ht="26.25" customHeight="1">
      <c r="A39" s="25">
        <v>25</v>
      </c>
      <c r="B39" s="24" t="s">
        <v>326</v>
      </c>
      <c r="C39" s="24" t="e">
        <f>#REF!</f>
        <v>#REF!</v>
      </c>
      <c r="D39" s="24" t="e">
        <f>#REF!</f>
        <v>#REF!</v>
      </c>
      <c r="E39" s="24" t="e">
        <f>#REF!</f>
        <v>#REF!</v>
      </c>
      <c r="F39" s="24">
        <v>3229372800</v>
      </c>
      <c r="G39" s="24" t="e">
        <f>#REF!</f>
        <v>#REF!</v>
      </c>
      <c r="H39" s="24" t="e">
        <f>#REF!</f>
        <v>#REF!</v>
      </c>
      <c r="I39" s="24" t="e">
        <f>#REF!</f>
        <v>#REF!</v>
      </c>
      <c r="J39" s="27">
        <f>'[1]25'!L43</f>
        <v>2423412800</v>
      </c>
      <c r="K39" s="24">
        <f>'251'!M48</f>
        <v>1971384180</v>
      </c>
      <c r="L39" s="24">
        <f t="shared" si="0"/>
        <v>-452028620</v>
      </c>
    </row>
    <row r="40" spans="1:12" ht="26.25" customHeight="1">
      <c r="A40" s="25">
        <v>26</v>
      </c>
      <c r="B40" s="24" t="s">
        <v>331</v>
      </c>
      <c r="C40" s="24" t="e">
        <f>#REF!</f>
        <v>#REF!</v>
      </c>
      <c r="D40" s="24" t="e">
        <f>#REF!</f>
        <v>#REF!</v>
      </c>
      <c r="E40" s="24" t="e">
        <f>#REF!</f>
        <v>#REF!</v>
      </c>
      <c r="F40" s="24">
        <v>1473875200</v>
      </c>
      <c r="G40" s="24" t="e">
        <f>#REF!</f>
        <v>#REF!</v>
      </c>
      <c r="H40" s="24" t="e">
        <f>#REF!</f>
        <v>#REF!</v>
      </c>
      <c r="I40" s="24" t="e">
        <f>#REF!</f>
        <v>#REF!</v>
      </c>
      <c r="J40" s="27">
        <v>2213083152</v>
      </c>
      <c r="K40" s="24">
        <f>'261'!M59</f>
        <v>2917731880.8000002</v>
      </c>
      <c r="L40" s="24">
        <f t="shared" si="0"/>
        <v>704648728.80000019</v>
      </c>
    </row>
    <row r="41" spans="1:12" ht="26.25" customHeight="1">
      <c r="A41" s="25">
        <v>27</v>
      </c>
      <c r="B41" s="24" t="s">
        <v>85</v>
      </c>
      <c r="C41" s="24" t="e">
        <f>'271'!#REF!</f>
        <v>#REF!</v>
      </c>
      <c r="D41" s="24" t="e">
        <f>'271'!#REF!</f>
        <v>#REF!</v>
      </c>
      <c r="E41" s="24" t="e">
        <f>'271'!#REF!</f>
        <v>#REF!</v>
      </c>
      <c r="F41" s="24">
        <v>248302600</v>
      </c>
      <c r="G41" s="24" t="e">
        <f>'271'!#REF!</f>
        <v>#REF!</v>
      </c>
      <c r="H41" s="24" t="e">
        <f>'271'!#REF!</f>
        <v>#REF!</v>
      </c>
      <c r="I41" s="24" t="e">
        <f>'271'!#REF!</f>
        <v>#REF!</v>
      </c>
      <c r="J41" s="27">
        <v>590046650</v>
      </c>
      <c r="K41" s="24">
        <f>'271'!M51</f>
        <v>629564751</v>
      </c>
      <c r="L41" s="24">
        <f t="shared" si="0"/>
        <v>39518101</v>
      </c>
    </row>
    <row r="42" spans="1:12" ht="26.25" customHeight="1">
      <c r="A42" s="25">
        <v>28</v>
      </c>
      <c r="B42" s="24" t="s">
        <v>81</v>
      </c>
      <c r="C42" s="24" t="e">
        <f>'114'!#REF!</f>
        <v>#REF!</v>
      </c>
      <c r="D42" s="24" t="e">
        <f>'114'!#REF!</f>
        <v>#REF!</v>
      </c>
      <c r="E42" s="24" t="e">
        <f>'114'!#REF!</f>
        <v>#REF!</v>
      </c>
      <c r="F42" s="24">
        <v>208425600</v>
      </c>
      <c r="G42" s="24" t="e">
        <f>'114'!#REF!</f>
        <v>#REF!</v>
      </c>
      <c r="H42" s="24" t="e">
        <f>'114'!#REF!</f>
        <v>#REF!</v>
      </c>
      <c r="I42" s="24" t="e">
        <f>'114'!#REF!</f>
        <v>#REF!</v>
      </c>
      <c r="J42" s="27">
        <v>480119672</v>
      </c>
      <c r="K42" s="24" t="e">
        <f>'114'!M41</f>
        <v>#REF!</v>
      </c>
      <c r="L42" s="24" t="e">
        <f t="shared" si="0"/>
        <v>#REF!</v>
      </c>
    </row>
    <row r="43" spans="1:12" ht="26.25" customHeight="1">
      <c r="A43" s="25">
        <v>29</v>
      </c>
      <c r="B43" s="24" t="s">
        <v>390</v>
      </c>
      <c r="C43" s="24" t="e">
        <f>#REF!</f>
        <v>#REF!</v>
      </c>
      <c r="D43" s="24" t="e">
        <f>#REF!</f>
        <v>#REF!</v>
      </c>
      <c r="E43" s="24" t="e">
        <f>#REF!</f>
        <v>#REF!</v>
      </c>
      <c r="F43" s="24">
        <v>172588000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s="27">
        <v>314327966</v>
      </c>
      <c r="K43" s="24">
        <f>'291'!M51</f>
        <v>633258024</v>
      </c>
      <c r="L43" s="24">
        <f t="shared" si="0"/>
        <v>318930058</v>
      </c>
    </row>
    <row r="44" spans="1:12" ht="26.25" customHeight="1">
      <c r="A44" s="26">
        <v>30</v>
      </c>
      <c r="B44" s="24" t="s">
        <v>318</v>
      </c>
      <c r="C44" s="18" t="e">
        <f>SUM(#REF!)</f>
        <v>#REF!</v>
      </c>
      <c r="D44" s="18" t="e">
        <f>SUM(#REF!)</f>
        <v>#REF!</v>
      </c>
      <c r="E44" s="18" t="e">
        <f>SUM(#REF!)</f>
        <v>#REF!</v>
      </c>
      <c r="F44" s="29">
        <v>249368000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27">
        <f>651231992+460991291</f>
        <v>1112223283</v>
      </c>
      <c r="K44" s="29">
        <f>'301'!K51</f>
        <v>1753203778.0999999</v>
      </c>
      <c r="L44" s="24">
        <f t="shared" si="0"/>
        <v>640980495.0999999</v>
      </c>
    </row>
    <row r="45" spans="1:12" ht="26.25" customHeight="1">
      <c r="A45" s="25">
        <v>31</v>
      </c>
      <c r="B45" s="24" t="s">
        <v>323</v>
      </c>
      <c r="C45" s="24" t="e">
        <f>#REF!</f>
        <v>#REF!</v>
      </c>
      <c r="D45" s="24" t="e">
        <f>#REF!</f>
        <v>#REF!</v>
      </c>
      <c r="E45" s="24" t="e">
        <f>#REF!</f>
        <v>#REF!</v>
      </c>
      <c r="F45" s="24">
        <v>395652000</v>
      </c>
      <c r="G45" s="24" t="e">
        <f>#REF!</f>
        <v>#REF!</v>
      </c>
      <c r="H45" s="24" t="e">
        <f>#REF!</f>
        <v>#REF!</v>
      </c>
      <c r="I45" s="24" t="e">
        <f>#REF!</f>
        <v>#REF!</v>
      </c>
      <c r="J45" s="27">
        <f>'[1]31'!L43</f>
        <v>1641919631</v>
      </c>
      <c r="K45" s="59">
        <f>'311'!M49</f>
        <v>2249155680</v>
      </c>
      <c r="L45" s="24">
        <f t="shared" si="0"/>
        <v>607236049</v>
      </c>
    </row>
    <row r="46" spans="1:12" ht="26.25" customHeight="1">
      <c r="A46" s="25">
        <v>32</v>
      </c>
      <c r="B46" s="24" t="s">
        <v>77</v>
      </c>
      <c r="C46" s="24">
        <v>0</v>
      </c>
      <c r="D46" s="24" t="e">
        <f>'321'!#REF!</f>
        <v>#REF!</v>
      </c>
      <c r="E46" s="24" t="e">
        <f>'321'!#REF!</f>
        <v>#REF!</v>
      </c>
      <c r="F46" s="24">
        <v>4752469000</v>
      </c>
      <c r="G46" s="24" t="e">
        <f>'321'!#REF!</f>
        <v>#REF!</v>
      </c>
      <c r="H46" s="24" t="e">
        <f>'321'!#REF!</f>
        <v>#REF!</v>
      </c>
      <c r="I46" s="24" t="e">
        <f>'321'!#REF!</f>
        <v>#REF!</v>
      </c>
      <c r="J46" s="27">
        <v>16224441793</v>
      </c>
      <c r="K46" s="24" t="e">
        <f>'321'!N45</f>
        <v>#REF!</v>
      </c>
      <c r="L46" s="24" t="e">
        <f t="shared" si="0"/>
        <v>#REF!</v>
      </c>
    </row>
    <row r="47" spans="1:12" ht="26.25" customHeight="1">
      <c r="A47" s="35">
        <v>33</v>
      </c>
      <c r="B47" s="24" t="s">
        <v>79</v>
      </c>
      <c r="C47" s="24">
        <f>'331'!D76</f>
        <v>0</v>
      </c>
      <c r="D47" s="24">
        <f>'331'!E76</f>
        <v>0</v>
      </c>
      <c r="E47" s="24">
        <f>'331'!F76</f>
        <v>0</v>
      </c>
      <c r="F47" s="24">
        <v>116932000</v>
      </c>
      <c r="G47" s="27">
        <f>'331'!H76</f>
        <v>0</v>
      </c>
      <c r="H47" s="27">
        <f>'331'!I76</f>
        <v>0</v>
      </c>
      <c r="I47" s="27">
        <f>'331'!J76</f>
        <v>0</v>
      </c>
      <c r="J47" s="27">
        <v>426660816</v>
      </c>
      <c r="K47" s="27">
        <f>'331'!M42</f>
        <v>732938431.20000005</v>
      </c>
      <c r="L47" s="24">
        <f t="shared" si="0"/>
        <v>306277615.20000005</v>
      </c>
    </row>
    <row r="48" spans="1:12" ht="26.25" customHeight="1">
      <c r="A48" s="35">
        <v>34</v>
      </c>
      <c r="B48" s="24" t="s">
        <v>94</v>
      </c>
      <c r="C48" s="24"/>
      <c r="D48" s="24"/>
      <c r="E48" s="24">
        <v>0</v>
      </c>
      <c r="F48" s="24">
        <v>186780000</v>
      </c>
      <c r="G48" s="27" t="e">
        <f>'341'!#REF!</f>
        <v>#REF!</v>
      </c>
      <c r="H48" s="27" t="e">
        <f>'341'!#REF!</f>
        <v>#REF!</v>
      </c>
      <c r="I48" s="27" t="e">
        <f>'341'!#REF!</f>
        <v>#REF!</v>
      </c>
      <c r="J48" s="27">
        <v>501603272</v>
      </c>
      <c r="K48" s="27" t="e">
        <f>'341'!N35</f>
        <v>#REF!</v>
      </c>
      <c r="L48" s="24" t="e">
        <f t="shared" si="0"/>
        <v>#REF!</v>
      </c>
    </row>
    <row r="49" spans="1:105" ht="26.25" customHeight="1">
      <c r="A49" s="42">
        <v>35</v>
      </c>
      <c r="B49" s="46" t="s">
        <v>316</v>
      </c>
      <c r="C49" s="46"/>
      <c r="D49" s="46"/>
      <c r="E49" s="46"/>
      <c r="F49" s="46"/>
      <c r="G49" s="46"/>
      <c r="H49" s="46"/>
      <c r="I49" s="46"/>
      <c r="J49" s="46">
        <v>0</v>
      </c>
      <c r="K49" s="46" t="e">
        <f>#REF!</f>
        <v>#REF!</v>
      </c>
      <c r="L49" s="24" t="e">
        <f t="shared" si="0"/>
        <v>#REF!</v>
      </c>
    </row>
    <row r="50" spans="1:105" ht="26.25" customHeight="1">
      <c r="A50" s="43">
        <v>36</v>
      </c>
      <c r="B50" s="47" t="s">
        <v>438</v>
      </c>
      <c r="C50" s="47"/>
      <c r="D50" s="47"/>
      <c r="E50" s="47"/>
      <c r="F50" s="47"/>
      <c r="G50" s="47"/>
      <c r="H50" s="47"/>
      <c r="I50" s="47"/>
      <c r="J50" s="46">
        <v>0</v>
      </c>
      <c r="K50" s="64" t="e">
        <f>#REF!</f>
        <v>#REF!</v>
      </c>
      <c r="L50" s="24" t="e">
        <f t="shared" si="0"/>
        <v>#REF!</v>
      </c>
    </row>
    <row r="51" spans="1:105" ht="26.25" customHeight="1">
      <c r="A51" s="44">
        <v>37</v>
      </c>
      <c r="B51" s="48" t="s">
        <v>330</v>
      </c>
      <c r="C51" s="48"/>
      <c r="D51" s="48"/>
      <c r="E51" s="48"/>
      <c r="F51" s="48"/>
      <c r="G51" s="48"/>
      <c r="H51" s="48"/>
      <c r="I51" s="48"/>
      <c r="J51" s="46">
        <v>0</v>
      </c>
      <c r="K51" s="65" t="e">
        <f>#REF!</f>
        <v>#REF!</v>
      </c>
      <c r="L51" s="24" t="e">
        <f t="shared" si="0"/>
        <v>#REF!</v>
      </c>
    </row>
    <row r="52" spans="1:105" ht="26.25" customHeight="1">
      <c r="A52" s="44">
        <v>38</v>
      </c>
      <c r="B52" s="48" t="s">
        <v>389</v>
      </c>
      <c r="C52" s="48"/>
      <c r="D52" s="48"/>
      <c r="E52" s="48"/>
      <c r="F52" s="48"/>
      <c r="G52" s="48"/>
      <c r="H52" s="48"/>
      <c r="I52" s="48"/>
      <c r="J52" s="46">
        <v>0</v>
      </c>
      <c r="K52" s="49">
        <f>'381'!D51</f>
        <v>1091312000</v>
      </c>
      <c r="L52" s="24">
        <f t="shared" si="0"/>
        <v>1091312000</v>
      </c>
    </row>
    <row r="53" spans="1:105" ht="26.25" customHeight="1">
      <c r="A53" s="44">
        <v>39</v>
      </c>
      <c r="B53" s="48" t="s">
        <v>435</v>
      </c>
      <c r="C53" s="48"/>
      <c r="D53" s="48"/>
      <c r="E53" s="48"/>
      <c r="F53" s="48"/>
      <c r="G53" s="48"/>
      <c r="H53" s="48"/>
      <c r="I53" s="48"/>
      <c r="J53" s="46">
        <v>0</v>
      </c>
      <c r="K53" s="49">
        <f>'391'!K48</f>
        <v>1026428400</v>
      </c>
      <c r="L53" s="24">
        <f t="shared" si="0"/>
        <v>1026428400</v>
      </c>
    </row>
    <row r="54" spans="1:105" s="31" customFormat="1" ht="28.5" customHeight="1" thickBot="1">
      <c r="A54" s="50"/>
      <c r="B54" s="51" t="s">
        <v>317</v>
      </c>
      <c r="C54" s="51"/>
      <c r="D54" s="51"/>
      <c r="E54" s="51"/>
      <c r="F54" s="51"/>
      <c r="G54" s="51"/>
      <c r="H54" s="51"/>
      <c r="I54" s="51"/>
      <c r="J54" s="52">
        <f>SUM(J2:J53)</f>
        <v>310259111704</v>
      </c>
      <c r="K54" s="52" t="e">
        <f>SUM(K2:K53)</f>
        <v>#REF!</v>
      </c>
      <c r="L54" s="53" t="e">
        <f t="shared" si="0"/>
        <v>#REF!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1:105" ht="28.5" customHeight="1">
      <c r="A55" s="17"/>
      <c r="B55" s="17"/>
      <c r="C55" s="17"/>
      <c r="D55" s="17"/>
      <c r="E55" s="17"/>
      <c r="F55" s="17"/>
      <c r="G55" s="17"/>
      <c r="H55" s="17"/>
      <c r="I55" s="17"/>
      <c r="J55" s="60"/>
      <c r="K55" s="61"/>
      <c r="L55" s="17"/>
    </row>
    <row r="56" spans="1:105" ht="30">
      <c r="J56" s="45"/>
      <c r="K56" s="6"/>
    </row>
    <row r="57" spans="1:105">
      <c r="J57" s="6" t="s">
        <v>332</v>
      </c>
    </row>
    <row r="58" spans="1:105" ht="15">
      <c r="J58" s="17"/>
      <c r="K58" s="66"/>
      <c r="L58" s="17"/>
    </row>
    <row r="59" spans="1:105">
      <c r="K59" s="6"/>
    </row>
    <row r="61" spans="1:105">
      <c r="K61" s="6"/>
    </row>
  </sheetData>
  <sheetProtection password="C780" sheet="1" objects="1" scenarios="1"/>
  <phoneticPr fontId="41" type="noConversion"/>
  <pageMargins left="0.66" right="0.3" top="0.73" bottom="0.38" header="0.19" footer="0.16"/>
  <pageSetup scale="48" orientation="portrait" r:id="rId1"/>
  <headerFooter alignWithMargins="0">
    <oddHeader>&amp;C&amp;"Arial Narrow,Bold"&amp;48Soo Koobidda Guud Ee Miis. 2011.</oddHeader>
    <oddFooter>&amp;C&amp;"Times New Roman,Bold"&amp;24I</oddFooter>
  </headerFooter>
  <rowBreaks count="1" manualBreakCount="1">
    <brk id="54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16" workbookViewId="0">
      <selection activeCell="B15" sqref="B15"/>
    </sheetView>
  </sheetViews>
  <sheetFormatPr defaultRowHeight="15.75"/>
  <cols>
    <col min="1" max="1" width="9.33203125" style="16"/>
    <col min="2" max="2" width="79.6640625" style="16" bestFit="1" customWidth="1"/>
    <col min="3" max="3" width="26.5" style="170" bestFit="1" customWidth="1"/>
    <col min="4" max="16384" width="9.33203125" style="16"/>
  </cols>
  <sheetData>
    <row r="1" spans="1:3">
      <c r="A1" s="145" t="s">
        <v>40</v>
      </c>
      <c r="B1" s="146" t="s">
        <v>45</v>
      </c>
      <c r="C1" s="167" t="s">
        <v>488</v>
      </c>
    </row>
    <row r="2" spans="1:3">
      <c r="A2" s="147">
        <v>1</v>
      </c>
      <c r="B2" s="148" t="s">
        <v>91</v>
      </c>
      <c r="C2" s="159"/>
    </row>
    <row r="3" spans="1:3">
      <c r="A3" s="147" t="s">
        <v>70</v>
      </c>
      <c r="B3" s="148" t="s">
        <v>90</v>
      </c>
      <c r="C3" s="159"/>
    </row>
    <row r="4" spans="1:3">
      <c r="A4" s="147" t="s">
        <v>69</v>
      </c>
      <c r="B4" s="148" t="s">
        <v>203</v>
      </c>
      <c r="C4" s="159"/>
    </row>
    <row r="5" spans="1:3">
      <c r="A5" s="147">
        <v>2</v>
      </c>
      <c r="B5" s="148" t="s">
        <v>88</v>
      </c>
      <c r="C5" s="159"/>
    </row>
    <row r="6" spans="1:3">
      <c r="A6" s="147">
        <v>3</v>
      </c>
      <c r="B6" s="148" t="s">
        <v>89</v>
      </c>
      <c r="C6" s="159"/>
    </row>
    <row r="7" spans="1:3">
      <c r="A7" s="147">
        <v>4</v>
      </c>
      <c r="B7" s="148" t="s">
        <v>202</v>
      </c>
      <c r="C7" s="159"/>
    </row>
    <row r="8" spans="1:3">
      <c r="A8" s="147">
        <v>5</v>
      </c>
      <c r="B8" s="148" t="s">
        <v>423</v>
      </c>
      <c r="C8" s="159"/>
    </row>
    <row r="9" spans="1:3">
      <c r="A9" s="147">
        <v>6</v>
      </c>
      <c r="B9" s="148" t="s">
        <v>83</v>
      </c>
      <c r="C9" s="159"/>
    </row>
    <row r="10" spans="1:3">
      <c r="A10" s="147">
        <v>7</v>
      </c>
      <c r="B10" s="148" t="s">
        <v>82</v>
      </c>
      <c r="C10" s="159"/>
    </row>
    <row r="11" spans="1:3">
      <c r="A11" s="147">
        <v>8</v>
      </c>
      <c r="B11" s="148" t="s">
        <v>319</v>
      </c>
      <c r="C11" s="159"/>
    </row>
    <row r="12" spans="1:3">
      <c r="A12" s="147" t="s">
        <v>14</v>
      </c>
      <c r="B12" s="148" t="s">
        <v>189</v>
      </c>
      <c r="C12" s="159"/>
    </row>
    <row r="13" spans="1:3">
      <c r="A13" s="147">
        <v>9</v>
      </c>
      <c r="B13" s="148" t="s">
        <v>121</v>
      </c>
      <c r="C13" s="159"/>
    </row>
    <row r="14" spans="1:3">
      <c r="A14" s="147">
        <v>10</v>
      </c>
      <c r="B14" s="148" t="s">
        <v>329</v>
      </c>
      <c r="C14" s="159"/>
    </row>
    <row r="15" spans="1:3">
      <c r="A15" s="147" t="s">
        <v>68</v>
      </c>
      <c r="B15" s="148" t="s">
        <v>201</v>
      </c>
      <c r="C15" s="159"/>
    </row>
    <row r="16" spans="1:3">
      <c r="A16" s="147" t="s">
        <v>192</v>
      </c>
      <c r="B16" s="148" t="s">
        <v>200</v>
      </c>
      <c r="C16" s="159"/>
    </row>
    <row r="17" spans="1:3">
      <c r="A17" s="147" t="s">
        <v>186</v>
      </c>
      <c r="B17" s="148" t="s">
        <v>194</v>
      </c>
      <c r="C17" s="159"/>
    </row>
    <row r="18" spans="1:3">
      <c r="A18" s="147" t="s">
        <v>185</v>
      </c>
      <c r="B18" s="148" t="s">
        <v>195</v>
      </c>
      <c r="C18" s="159"/>
    </row>
    <row r="19" spans="1:3">
      <c r="A19" s="147">
        <v>11</v>
      </c>
      <c r="B19" s="148" t="s">
        <v>112</v>
      </c>
      <c r="C19" s="159"/>
    </row>
    <row r="20" spans="1:3">
      <c r="A20" s="147" t="s">
        <v>190</v>
      </c>
      <c r="B20" s="148" t="s">
        <v>197</v>
      </c>
      <c r="C20" s="11">
        <v>21000000</v>
      </c>
    </row>
    <row r="21" spans="1:3">
      <c r="A21" s="147" t="s">
        <v>71</v>
      </c>
      <c r="B21" s="148" t="s">
        <v>72</v>
      </c>
      <c r="C21" s="159"/>
    </row>
    <row r="22" spans="1:3">
      <c r="A22" s="147" t="s">
        <v>193</v>
      </c>
      <c r="B22" s="148" t="s">
        <v>196</v>
      </c>
      <c r="C22" s="159"/>
    </row>
    <row r="23" spans="1:3">
      <c r="A23" s="147" t="s">
        <v>352</v>
      </c>
      <c r="B23" s="148" t="s">
        <v>139</v>
      </c>
      <c r="C23" s="11">
        <f>'115'!K17*70%</f>
        <v>9800000</v>
      </c>
    </row>
    <row r="24" spans="1:3">
      <c r="A24" s="147">
        <v>12</v>
      </c>
      <c r="B24" s="148" t="s">
        <v>87</v>
      </c>
      <c r="C24" s="159"/>
    </row>
    <row r="25" spans="1:3">
      <c r="A25" s="147" t="s">
        <v>191</v>
      </c>
      <c r="B25" s="148" t="s">
        <v>75</v>
      </c>
      <c r="C25" s="159"/>
    </row>
    <row r="26" spans="1:3">
      <c r="A26" s="147">
        <v>13</v>
      </c>
      <c r="B26" s="148" t="s">
        <v>199</v>
      </c>
      <c r="C26" s="159"/>
    </row>
    <row r="27" spans="1:3">
      <c r="A27" s="147" t="s">
        <v>22</v>
      </c>
      <c r="B27" s="148" t="s">
        <v>60</v>
      </c>
      <c r="C27" s="159"/>
    </row>
    <row r="28" spans="1:3">
      <c r="A28" s="147">
        <v>14</v>
      </c>
      <c r="B28" s="148" t="s">
        <v>325</v>
      </c>
      <c r="C28" s="159"/>
    </row>
    <row r="29" spans="1:3">
      <c r="A29" s="147">
        <v>15</v>
      </c>
      <c r="B29" s="148" t="s">
        <v>80</v>
      </c>
      <c r="C29" s="148">
        <f>'151'!M18*70%</f>
        <v>806495200</v>
      </c>
    </row>
    <row r="30" spans="1:3">
      <c r="A30" s="147">
        <v>16</v>
      </c>
      <c r="B30" s="148" t="s">
        <v>320</v>
      </c>
      <c r="C30" s="159"/>
    </row>
    <row r="31" spans="1:3">
      <c r="A31" s="147">
        <v>17</v>
      </c>
      <c r="B31" s="148" t="s">
        <v>321</v>
      </c>
      <c r="C31" s="159"/>
    </row>
    <row r="32" spans="1:3">
      <c r="A32" s="147">
        <v>18</v>
      </c>
      <c r="B32" s="148" t="s">
        <v>324</v>
      </c>
      <c r="C32" s="159"/>
    </row>
    <row r="33" spans="1:3">
      <c r="A33" s="147">
        <v>19</v>
      </c>
      <c r="B33" s="148" t="s">
        <v>97</v>
      </c>
      <c r="C33" s="159"/>
    </row>
    <row r="34" spans="1:3">
      <c r="A34" s="147">
        <v>20</v>
      </c>
      <c r="B34" s="148" t="s">
        <v>454</v>
      </c>
      <c r="C34" s="159"/>
    </row>
    <row r="35" spans="1:3">
      <c r="A35" s="147" t="s">
        <v>448</v>
      </c>
      <c r="B35" s="148" t="s">
        <v>449</v>
      </c>
      <c r="C35" s="159"/>
    </row>
    <row r="36" spans="1:3">
      <c r="A36" s="147">
        <v>21</v>
      </c>
      <c r="B36" s="148" t="s">
        <v>86</v>
      </c>
      <c r="C36" s="159"/>
    </row>
    <row r="37" spans="1:3">
      <c r="A37" s="147">
        <v>22</v>
      </c>
      <c r="B37" s="148" t="s">
        <v>327</v>
      </c>
      <c r="C37" s="159"/>
    </row>
    <row r="38" spans="1:3">
      <c r="A38" s="147">
        <v>23</v>
      </c>
      <c r="B38" s="148" t="s">
        <v>328</v>
      </c>
      <c r="C38" s="159"/>
    </row>
    <row r="39" spans="1:3">
      <c r="A39" s="147">
        <v>24</v>
      </c>
      <c r="B39" s="148" t="s">
        <v>198</v>
      </c>
      <c r="C39" s="30">
        <v>147000000</v>
      </c>
    </row>
    <row r="40" spans="1:3">
      <c r="A40" s="147">
        <v>25</v>
      </c>
      <c r="B40" s="148" t="s">
        <v>326</v>
      </c>
      <c r="C40" s="159"/>
    </row>
    <row r="41" spans="1:3">
      <c r="A41" s="147">
        <v>26</v>
      </c>
      <c r="B41" s="148" t="s">
        <v>331</v>
      </c>
      <c r="C41" s="159"/>
    </row>
    <row r="42" spans="1:3">
      <c r="A42" s="147">
        <v>27</v>
      </c>
      <c r="B42" s="148" t="s">
        <v>85</v>
      </c>
      <c r="C42" s="159"/>
    </row>
    <row r="43" spans="1:3">
      <c r="A43" s="147">
        <v>28</v>
      </c>
      <c r="B43" s="148" t="s">
        <v>81</v>
      </c>
      <c r="C43" s="159"/>
    </row>
    <row r="44" spans="1:3">
      <c r="A44" s="147">
        <v>29</v>
      </c>
      <c r="B44" s="148" t="s">
        <v>390</v>
      </c>
      <c r="C44" s="159"/>
    </row>
    <row r="45" spans="1:3">
      <c r="A45" s="149">
        <v>30</v>
      </c>
      <c r="B45" s="148" t="s">
        <v>318</v>
      </c>
      <c r="C45" s="160"/>
    </row>
    <row r="46" spans="1:3">
      <c r="A46" s="147">
        <v>31</v>
      </c>
      <c r="B46" s="148" t="s">
        <v>323</v>
      </c>
      <c r="C46" s="159"/>
    </row>
    <row r="47" spans="1:3">
      <c r="A47" s="147">
        <v>32</v>
      </c>
      <c r="B47" s="148" t="s">
        <v>77</v>
      </c>
      <c r="C47" s="159"/>
    </row>
    <row r="48" spans="1:3">
      <c r="A48" s="150">
        <v>33</v>
      </c>
      <c r="B48" s="148" t="s">
        <v>79</v>
      </c>
      <c r="C48" s="168"/>
    </row>
    <row r="49" spans="1:3">
      <c r="A49" s="150">
        <v>34</v>
      </c>
      <c r="B49" s="148" t="s">
        <v>94</v>
      </c>
      <c r="C49" s="168"/>
    </row>
    <row r="50" spans="1:3">
      <c r="A50" s="151">
        <v>35</v>
      </c>
      <c r="B50" s="152" t="s">
        <v>316</v>
      </c>
      <c r="C50" s="165" t="e">
        <f>#REF!*70%</f>
        <v>#REF!</v>
      </c>
    </row>
    <row r="51" spans="1:3">
      <c r="A51" s="153">
        <v>36</v>
      </c>
      <c r="B51" s="154" t="s">
        <v>438</v>
      </c>
      <c r="C51" s="159"/>
    </row>
    <row r="52" spans="1:3">
      <c r="A52" s="155">
        <v>37</v>
      </c>
      <c r="B52" s="156" t="s">
        <v>330</v>
      </c>
      <c r="C52" s="11" t="e">
        <f>#REF!*70%</f>
        <v>#REF!</v>
      </c>
    </row>
    <row r="53" spans="1:3">
      <c r="A53" s="155">
        <v>38</v>
      </c>
      <c r="B53" s="156" t="s">
        <v>389</v>
      </c>
      <c r="C53" s="166">
        <f>'381'!D14*70%</f>
        <v>14699999.999999998</v>
      </c>
    </row>
    <row r="54" spans="1:3">
      <c r="A54" s="155">
        <v>39</v>
      </c>
      <c r="B54" s="156" t="s">
        <v>435</v>
      </c>
      <c r="C54" s="11">
        <f>'391'!K14*70%</f>
        <v>44800000</v>
      </c>
    </row>
    <row r="55" spans="1:3">
      <c r="A55" s="155">
        <v>40</v>
      </c>
      <c r="B55" s="156" t="s">
        <v>450</v>
      </c>
      <c r="C55" s="168"/>
    </row>
    <row r="56" spans="1:3">
      <c r="A56" s="155">
        <v>41</v>
      </c>
      <c r="B56" s="156" t="s">
        <v>455</v>
      </c>
      <c r="C56" s="168"/>
    </row>
    <row r="57" spans="1:3">
      <c r="A57" s="155">
        <v>42</v>
      </c>
      <c r="B57" s="156" t="s">
        <v>463</v>
      </c>
      <c r="C57" s="168"/>
    </row>
    <row r="58" spans="1:3" ht="16.5" thickBot="1">
      <c r="A58" s="157"/>
      <c r="B58" s="158" t="s">
        <v>317</v>
      </c>
      <c r="C58" s="169" t="e">
        <f>SUM(C3:C57)</f>
        <v>#REF!</v>
      </c>
    </row>
  </sheetData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view="pageBreakPreview" zoomScale="60" workbookViewId="0">
      <selection activeCell="C5" sqref="C5"/>
    </sheetView>
  </sheetViews>
  <sheetFormatPr defaultRowHeight="18" customHeight="1"/>
  <cols>
    <col min="1" max="1" width="13" style="16" bestFit="1" customWidth="1"/>
    <col min="2" max="2" width="71.5" style="16" bestFit="1" customWidth="1"/>
    <col min="3" max="3" width="68.5" style="144" customWidth="1"/>
    <col min="4" max="16384" width="9.33203125" style="16"/>
  </cols>
  <sheetData>
    <row r="1" spans="1:16" ht="18" customHeight="1">
      <c r="A1" s="123" t="s">
        <v>40</v>
      </c>
      <c r="B1" s="124" t="s">
        <v>45</v>
      </c>
      <c r="C1" s="143" t="s">
        <v>464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108"/>
      <c r="P1" s="108"/>
    </row>
    <row r="2" spans="1:16" ht="18" customHeight="1">
      <c r="A2" s="125">
        <v>1</v>
      </c>
      <c r="B2" s="126" t="s">
        <v>91</v>
      </c>
      <c r="C2" s="137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8"/>
      <c r="O2" s="108"/>
      <c r="P2" s="108"/>
    </row>
    <row r="3" spans="1:16" ht="18" customHeight="1">
      <c r="A3" s="125" t="s">
        <v>70</v>
      </c>
      <c r="B3" s="126" t="s">
        <v>90</v>
      </c>
      <c r="C3" s="137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8"/>
      <c r="O3" s="108"/>
      <c r="P3" s="108"/>
    </row>
    <row r="4" spans="1:16" ht="18" customHeight="1">
      <c r="A4" s="125" t="s">
        <v>69</v>
      </c>
      <c r="B4" s="126" t="s">
        <v>203</v>
      </c>
      <c r="C4" s="137">
        <f>'013'!I15</f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8"/>
      <c r="O4" s="108"/>
      <c r="P4" s="108"/>
    </row>
    <row r="5" spans="1:16" ht="18" customHeight="1">
      <c r="A5" s="125">
        <v>2</v>
      </c>
      <c r="B5" s="126" t="s">
        <v>88</v>
      </c>
      <c r="C5" s="137">
        <f>'021'!N18</f>
        <v>62400000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8"/>
      <c r="O5" s="108"/>
      <c r="P5" s="108"/>
    </row>
    <row r="6" spans="1:16" ht="18" customHeight="1">
      <c r="A6" s="125">
        <v>3</v>
      </c>
      <c r="B6" s="126" t="s">
        <v>89</v>
      </c>
      <c r="C6" s="137">
        <f>'031'!M19</f>
        <v>11700000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8"/>
      <c r="P6" s="108"/>
    </row>
    <row r="7" spans="1:16" ht="18" customHeight="1">
      <c r="A7" s="125">
        <v>4</v>
      </c>
      <c r="B7" s="126" t="s">
        <v>202</v>
      </c>
      <c r="C7" s="137">
        <f>'041'!M17</f>
        <v>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8"/>
      <c r="O7" s="108"/>
      <c r="P7" s="108"/>
    </row>
    <row r="8" spans="1:16" ht="18" customHeight="1">
      <c r="A8" s="125">
        <v>5</v>
      </c>
      <c r="B8" s="126" t="s">
        <v>423</v>
      </c>
      <c r="C8" s="137">
        <f>'051'!M18</f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8"/>
      <c r="O8" s="108"/>
      <c r="P8" s="108"/>
    </row>
    <row r="9" spans="1:16" ht="18" customHeight="1">
      <c r="A9" s="125">
        <v>6</v>
      </c>
      <c r="B9" s="126" t="s">
        <v>83</v>
      </c>
      <c r="C9" s="137">
        <f>'061'!M19</f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8"/>
      <c r="O9" s="108"/>
      <c r="P9" s="108"/>
    </row>
    <row r="10" spans="1:16" ht="18" customHeight="1">
      <c r="A10" s="125">
        <v>7</v>
      </c>
      <c r="B10" s="126" t="s">
        <v>82</v>
      </c>
      <c r="C10" s="137">
        <f>'071'!N18</f>
        <v>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8"/>
      <c r="O10" s="108"/>
      <c r="P10" s="108"/>
    </row>
    <row r="11" spans="1:16" ht="18" customHeight="1">
      <c r="A11" s="125">
        <v>8</v>
      </c>
      <c r="B11" s="126" t="s">
        <v>319</v>
      </c>
      <c r="C11" s="137">
        <f>'081'!L21</f>
        <v>495550000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8"/>
      <c r="O11" s="108"/>
      <c r="P11" s="108"/>
    </row>
    <row r="12" spans="1:16" ht="18" customHeight="1">
      <c r="A12" s="125" t="s">
        <v>14</v>
      </c>
      <c r="B12" s="126" t="s">
        <v>189</v>
      </c>
      <c r="C12" s="137">
        <f>'082'!N20</f>
        <v>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8"/>
      <c r="O12" s="108"/>
      <c r="P12" s="108"/>
    </row>
    <row r="13" spans="1:16" ht="18" customHeight="1">
      <c r="A13" s="125">
        <v>9</v>
      </c>
      <c r="B13" s="126" t="s">
        <v>121</v>
      </c>
      <c r="C13" s="137">
        <f>'091'!N17</f>
        <v>32990688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8"/>
      <c r="O13" s="108"/>
      <c r="P13" s="108"/>
    </row>
    <row r="14" spans="1:16" ht="18" customHeight="1">
      <c r="A14" s="125">
        <v>10</v>
      </c>
      <c r="B14" s="126" t="s">
        <v>329</v>
      </c>
      <c r="C14" s="137">
        <f>'101'!N19</f>
        <v>144000000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8"/>
      <c r="O14" s="108"/>
      <c r="P14" s="108"/>
    </row>
    <row r="15" spans="1:16" ht="18" customHeight="1">
      <c r="A15" s="125" t="s">
        <v>68</v>
      </c>
      <c r="B15" s="126" t="s">
        <v>201</v>
      </c>
      <c r="C15" s="137">
        <f>'102'!N18</f>
        <v>10500000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8"/>
      <c r="P15" s="108"/>
    </row>
    <row r="16" spans="1:16" ht="18" customHeight="1">
      <c r="A16" s="125" t="s">
        <v>192</v>
      </c>
      <c r="B16" s="126" t="s">
        <v>200</v>
      </c>
      <c r="C16" s="137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</row>
    <row r="17" spans="1:16" ht="18" customHeight="1">
      <c r="A17" s="125" t="s">
        <v>186</v>
      </c>
      <c r="B17" s="126" t="s">
        <v>194</v>
      </c>
      <c r="C17" s="137">
        <f>'104'!N18</f>
        <v>64800000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</row>
    <row r="18" spans="1:16" ht="18" customHeight="1">
      <c r="A18" s="125" t="s">
        <v>185</v>
      </c>
      <c r="B18" s="126" t="s">
        <v>195</v>
      </c>
      <c r="C18" s="137">
        <f>'105'!O15</f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</row>
    <row r="19" spans="1:16" ht="18" customHeight="1">
      <c r="A19" s="125">
        <v>11</v>
      </c>
      <c r="B19" s="126" t="s">
        <v>112</v>
      </c>
      <c r="C19" s="137">
        <f>'111'!N15</f>
        <v>4060000</v>
      </c>
      <c r="D19" s="109"/>
      <c r="E19" s="109"/>
      <c r="F19" s="109"/>
      <c r="G19" s="109"/>
      <c r="H19" s="109"/>
      <c r="I19" s="109"/>
      <c r="J19" s="109"/>
      <c r="K19" s="110"/>
      <c r="L19" s="109"/>
      <c r="M19" s="109"/>
      <c r="N19" s="108"/>
      <c r="O19" s="108"/>
      <c r="P19" s="108"/>
    </row>
    <row r="20" spans="1:16" ht="18" customHeight="1">
      <c r="A20" s="125" t="s">
        <v>190</v>
      </c>
      <c r="B20" s="126" t="s">
        <v>197</v>
      </c>
      <c r="C20" s="137">
        <f>'112'!N16</f>
        <v>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8"/>
      <c r="O20" s="108"/>
      <c r="P20" s="108"/>
    </row>
    <row r="21" spans="1:16" ht="18" customHeight="1">
      <c r="A21" s="125" t="s">
        <v>71</v>
      </c>
      <c r="B21" s="126" t="s">
        <v>72</v>
      </c>
      <c r="C21" s="137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8"/>
      <c r="O21" s="108"/>
      <c r="P21" s="108"/>
    </row>
    <row r="22" spans="1:16" ht="18" customHeight="1">
      <c r="A22" s="125" t="s">
        <v>193</v>
      </c>
      <c r="B22" s="126" t="s">
        <v>196</v>
      </c>
      <c r="C22" s="137" t="e">
        <f>#REF!</f>
        <v>#REF!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8"/>
      <c r="O22" s="108"/>
      <c r="P22" s="108"/>
    </row>
    <row r="23" spans="1:16" ht="18" customHeight="1">
      <c r="A23" s="125" t="s">
        <v>352</v>
      </c>
      <c r="B23" s="126" t="s">
        <v>139</v>
      </c>
      <c r="C23" s="137">
        <f>'115'!L19</f>
        <v>72000000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8"/>
      <c r="O23" s="108"/>
      <c r="P23" s="108"/>
    </row>
    <row r="24" spans="1:16" ht="18" customHeight="1">
      <c r="A24" s="125">
        <v>12</v>
      </c>
      <c r="B24" s="126" t="s">
        <v>87</v>
      </c>
      <c r="C24" s="137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08"/>
      <c r="P24" s="108"/>
    </row>
    <row r="25" spans="1:16" ht="18" customHeight="1">
      <c r="A25" s="125" t="s">
        <v>191</v>
      </c>
      <c r="B25" s="126" t="s">
        <v>75</v>
      </c>
      <c r="C25" s="13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8"/>
      <c r="O25" s="108"/>
      <c r="P25" s="108"/>
    </row>
    <row r="26" spans="1:16" ht="18" customHeight="1">
      <c r="A26" s="125">
        <v>13</v>
      </c>
      <c r="B26" s="126" t="s">
        <v>199</v>
      </c>
      <c r="C26" s="13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8"/>
      <c r="O26" s="108"/>
      <c r="P26" s="108"/>
    </row>
    <row r="27" spans="1:16" ht="18" customHeight="1">
      <c r="A27" s="125" t="s">
        <v>22</v>
      </c>
      <c r="B27" s="126" t="s">
        <v>60</v>
      </c>
      <c r="C27" s="137"/>
      <c r="D27" s="109"/>
      <c r="E27" s="109"/>
      <c r="F27" s="111"/>
      <c r="G27" s="111"/>
      <c r="H27" s="111"/>
      <c r="I27" s="111"/>
      <c r="J27" s="109"/>
      <c r="K27" s="111"/>
      <c r="L27" s="109"/>
      <c r="M27" s="109"/>
      <c r="N27" s="108"/>
      <c r="O27" s="108"/>
      <c r="P27" s="108"/>
    </row>
    <row r="28" spans="1:16" ht="18" customHeight="1">
      <c r="A28" s="125">
        <v>14</v>
      </c>
      <c r="B28" s="126" t="s">
        <v>325</v>
      </c>
      <c r="C28" s="137">
        <f>'141'!N14</f>
        <v>101640000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8"/>
      <c r="O28" s="108"/>
      <c r="P28" s="108"/>
    </row>
    <row r="29" spans="1:16" ht="18" customHeight="1">
      <c r="A29" s="125">
        <v>15</v>
      </c>
      <c r="B29" s="126" t="s">
        <v>80</v>
      </c>
      <c r="C29" s="137">
        <f>'151'!N20</f>
        <v>270000000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8"/>
      <c r="O29" s="108"/>
      <c r="P29" s="108"/>
    </row>
    <row r="30" spans="1:16" ht="18" customHeight="1">
      <c r="A30" s="125">
        <v>16</v>
      </c>
      <c r="B30" s="126" t="s">
        <v>320</v>
      </c>
      <c r="C30" s="137">
        <f>'161'!N13</f>
        <v>8367827.9999999991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8"/>
      <c r="O30" s="108"/>
      <c r="P30" s="108"/>
    </row>
    <row r="31" spans="1:16" ht="18" customHeight="1">
      <c r="A31" s="125">
        <v>17</v>
      </c>
      <c r="B31" s="126" t="s">
        <v>321</v>
      </c>
      <c r="C31" s="137">
        <f>'171'!O16</f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8"/>
      <c r="O31" s="108"/>
      <c r="P31" s="108"/>
    </row>
    <row r="32" spans="1:16" ht="18" customHeight="1">
      <c r="A32" s="125">
        <v>18</v>
      </c>
      <c r="B32" s="126" t="s">
        <v>324</v>
      </c>
      <c r="C32" s="137">
        <f>'181'!N14</f>
        <v>88300000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</row>
    <row r="33" spans="1:16" ht="18" customHeight="1">
      <c r="A33" s="125">
        <v>19</v>
      </c>
      <c r="B33" s="126" t="s">
        <v>97</v>
      </c>
      <c r="C33" s="137">
        <f>'191'!N15</f>
        <v>0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8"/>
      <c r="O33" s="108"/>
      <c r="P33" s="108"/>
    </row>
    <row r="34" spans="1:16" ht="18" customHeight="1">
      <c r="A34" s="125">
        <v>20</v>
      </c>
      <c r="B34" s="126" t="s">
        <v>454</v>
      </c>
      <c r="C34" s="137">
        <f>'201'!N15</f>
        <v>7820400</v>
      </c>
      <c r="D34" s="109"/>
      <c r="E34" s="109"/>
      <c r="F34" s="109"/>
      <c r="G34" s="109"/>
      <c r="H34" s="109"/>
      <c r="I34" s="109"/>
      <c r="J34" s="109"/>
      <c r="K34" s="110"/>
      <c r="L34" s="109"/>
      <c r="M34" s="109"/>
      <c r="N34" s="108"/>
      <c r="O34" s="108"/>
      <c r="P34" s="108"/>
    </row>
    <row r="35" spans="1:16" ht="18" customHeight="1">
      <c r="A35" s="125" t="s">
        <v>448</v>
      </c>
      <c r="B35" s="126" t="s">
        <v>449</v>
      </c>
      <c r="C35" s="137">
        <f>'411'!D15</f>
        <v>86400000</v>
      </c>
      <c r="D35" s="109"/>
      <c r="E35" s="109"/>
      <c r="F35" s="109"/>
      <c r="G35" s="109"/>
      <c r="H35" s="109"/>
      <c r="I35" s="109"/>
      <c r="J35" s="109"/>
      <c r="K35" s="110"/>
      <c r="L35" s="109"/>
      <c r="M35" s="109"/>
      <c r="N35" s="108"/>
      <c r="O35" s="108"/>
      <c r="P35" s="108"/>
    </row>
    <row r="36" spans="1:16" ht="18" customHeight="1">
      <c r="A36" s="125">
        <v>21</v>
      </c>
      <c r="B36" s="126" t="s">
        <v>86</v>
      </c>
      <c r="C36" s="137">
        <f>'211'!N17</f>
        <v>43200000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8"/>
      <c r="O36" s="108"/>
      <c r="P36" s="108"/>
    </row>
    <row r="37" spans="1:16" ht="18" customHeight="1">
      <c r="A37" s="125">
        <v>22</v>
      </c>
      <c r="B37" s="126" t="s">
        <v>327</v>
      </c>
      <c r="C37" s="137">
        <f>'221'!M14</f>
        <v>32400000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8"/>
      <c r="O37" s="108"/>
      <c r="P37" s="108"/>
    </row>
    <row r="38" spans="1:16" ht="18" customHeight="1">
      <c r="A38" s="125">
        <v>23</v>
      </c>
      <c r="B38" s="126" t="s">
        <v>328</v>
      </c>
      <c r="C38" s="137" t="e">
        <f>'231'!#REF!</f>
        <v>#REF!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8"/>
      <c r="O38" s="108"/>
      <c r="P38" s="108"/>
    </row>
    <row r="39" spans="1:16" ht="18" customHeight="1">
      <c r="A39" s="125">
        <v>24</v>
      </c>
      <c r="B39" s="126" t="s">
        <v>198</v>
      </c>
      <c r="C39" s="137">
        <f>'241'!M16</f>
        <v>22050000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8"/>
      <c r="O39" s="108"/>
      <c r="P39" s="108"/>
    </row>
    <row r="40" spans="1:16" ht="18" customHeight="1">
      <c r="A40" s="125">
        <v>25</v>
      </c>
      <c r="B40" s="126" t="s">
        <v>326</v>
      </c>
      <c r="C40" s="137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8"/>
      <c r="O40" s="108"/>
      <c r="P40" s="108"/>
    </row>
    <row r="41" spans="1:16" ht="18" customHeight="1">
      <c r="A41" s="125">
        <v>26</v>
      </c>
      <c r="B41" s="126" t="s">
        <v>331</v>
      </c>
      <c r="C41" s="137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8"/>
      <c r="O41" s="108"/>
      <c r="P41" s="108"/>
    </row>
    <row r="42" spans="1:16" ht="18" customHeight="1">
      <c r="A42" s="125">
        <v>27</v>
      </c>
      <c r="B42" s="126" t="s">
        <v>85</v>
      </c>
      <c r="C42" s="137">
        <f>'271'!N18</f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8"/>
      <c r="O42" s="108"/>
      <c r="P42" s="108"/>
    </row>
    <row r="43" spans="1:16" ht="18" customHeight="1">
      <c r="A43" s="125">
        <v>28</v>
      </c>
      <c r="B43" s="126" t="s">
        <v>81</v>
      </c>
      <c r="C43" s="137">
        <f>'114'!N15</f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8"/>
      <c r="O43" s="108"/>
      <c r="P43" s="108"/>
    </row>
    <row r="44" spans="1:16" ht="18" customHeight="1">
      <c r="A44" s="125">
        <v>29</v>
      </c>
      <c r="B44" s="126" t="s">
        <v>390</v>
      </c>
      <c r="C44" s="137">
        <f>'291'!N16</f>
        <v>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8"/>
      <c r="O44" s="108"/>
      <c r="P44" s="108"/>
    </row>
    <row r="45" spans="1:16" ht="18" customHeight="1">
      <c r="A45" s="127">
        <v>30</v>
      </c>
      <c r="B45" s="126" t="s">
        <v>318</v>
      </c>
      <c r="C45" s="138"/>
      <c r="D45" s="112"/>
      <c r="E45" s="112"/>
      <c r="F45" s="113"/>
      <c r="G45" s="113"/>
      <c r="H45" s="113"/>
      <c r="I45" s="113"/>
      <c r="J45" s="109"/>
      <c r="K45" s="113"/>
      <c r="L45" s="109"/>
      <c r="M45" s="109"/>
      <c r="N45" s="108"/>
      <c r="O45" s="108"/>
      <c r="P45" s="108"/>
    </row>
    <row r="46" spans="1:16" ht="18" customHeight="1">
      <c r="A46" s="125">
        <v>31</v>
      </c>
      <c r="B46" s="126" t="s">
        <v>323</v>
      </c>
      <c r="C46" s="137">
        <f>'311'!N14</f>
        <v>72000000</v>
      </c>
      <c r="D46" s="109"/>
      <c r="E46" s="109"/>
      <c r="F46" s="109"/>
      <c r="G46" s="109"/>
      <c r="H46" s="109"/>
      <c r="I46" s="109"/>
      <c r="J46" s="109"/>
      <c r="K46" s="114"/>
      <c r="L46" s="109"/>
      <c r="M46" s="109"/>
      <c r="N46" s="108"/>
      <c r="O46" s="108"/>
      <c r="P46" s="108"/>
    </row>
    <row r="47" spans="1:16" ht="18" customHeight="1">
      <c r="A47" s="125">
        <v>32</v>
      </c>
      <c r="B47" s="126" t="s">
        <v>77</v>
      </c>
      <c r="C47" s="137">
        <f>'321'!O15</f>
        <v>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8"/>
      <c r="O47" s="108"/>
      <c r="P47" s="108"/>
    </row>
    <row r="48" spans="1:16" ht="18" customHeight="1">
      <c r="A48" s="128">
        <v>33</v>
      </c>
      <c r="B48" s="126" t="s">
        <v>79</v>
      </c>
      <c r="C48" s="137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8"/>
      <c r="O48" s="108"/>
      <c r="P48" s="108"/>
    </row>
    <row r="49" spans="1:16" ht="18" customHeight="1">
      <c r="A49" s="128">
        <v>34</v>
      </c>
      <c r="B49" s="126" t="s">
        <v>94</v>
      </c>
      <c r="C49" s="137">
        <f>'341'!O11</f>
        <v>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8"/>
      <c r="O49" s="108"/>
      <c r="P49" s="108"/>
    </row>
    <row r="50" spans="1:16" ht="18" customHeight="1">
      <c r="A50" s="129">
        <v>35</v>
      </c>
      <c r="B50" s="130" t="s">
        <v>316</v>
      </c>
      <c r="C50" s="139" t="e">
        <f>#REF!</f>
        <v>#REF!</v>
      </c>
      <c r="D50" s="113"/>
      <c r="E50" s="113"/>
      <c r="F50" s="113"/>
      <c r="G50" s="113"/>
      <c r="H50" s="113"/>
      <c r="I50" s="113"/>
      <c r="J50" s="113"/>
      <c r="K50" s="113"/>
      <c r="L50" s="109"/>
      <c r="M50" s="109"/>
      <c r="N50" s="108"/>
      <c r="O50" s="108"/>
      <c r="P50" s="108"/>
    </row>
    <row r="51" spans="1:16" ht="18" customHeight="1">
      <c r="A51" s="131">
        <v>36</v>
      </c>
      <c r="B51" s="132" t="s">
        <v>438</v>
      </c>
      <c r="C51" s="140"/>
      <c r="D51" s="115"/>
      <c r="E51" s="115"/>
      <c r="F51" s="115"/>
      <c r="G51" s="115"/>
      <c r="H51" s="115"/>
      <c r="I51" s="115"/>
      <c r="J51" s="113"/>
      <c r="K51" s="116"/>
      <c r="L51" s="109"/>
      <c r="M51" s="109"/>
      <c r="N51" s="108"/>
      <c r="O51" s="108"/>
      <c r="P51" s="108"/>
    </row>
    <row r="52" spans="1:16" ht="18" customHeight="1">
      <c r="A52" s="133">
        <v>37</v>
      </c>
      <c r="B52" s="134" t="s">
        <v>330</v>
      </c>
      <c r="C52" s="142" t="e">
        <f>#REF!</f>
        <v>#REF!</v>
      </c>
      <c r="D52" s="115"/>
      <c r="E52" s="115"/>
      <c r="F52" s="115"/>
      <c r="G52" s="115"/>
      <c r="H52" s="115"/>
      <c r="I52" s="115"/>
      <c r="J52" s="113"/>
      <c r="K52" s="117"/>
      <c r="L52" s="109"/>
      <c r="M52" s="109"/>
      <c r="N52" s="108"/>
      <c r="O52" s="108"/>
      <c r="P52" s="108"/>
    </row>
    <row r="53" spans="1:16" ht="18" customHeight="1">
      <c r="A53" s="133">
        <v>38</v>
      </c>
      <c r="B53" s="134" t="s">
        <v>389</v>
      </c>
      <c r="C53" s="142">
        <f>'381'!E16</f>
        <v>40320000</v>
      </c>
      <c r="D53" s="115"/>
      <c r="E53" s="115"/>
      <c r="F53" s="115"/>
      <c r="G53" s="115"/>
      <c r="H53" s="115"/>
      <c r="I53" s="115"/>
      <c r="J53" s="113"/>
      <c r="K53" s="118"/>
      <c r="L53" s="109"/>
      <c r="M53" s="109"/>
      <c r="N53" s="108"/>
      <c r="O53" s="108"/>
      <c r="P53" s="108"/>
    </row>
    <row r="54" spans="1:16" ht="18" customHeight="1">
      <c r="A54" s="133">
        <v>39</v>
      </c>
      <c r="B54" s="134" t="s">
        <v>435</v>
      </c>
      <c r="C54" s="142">
        <f>'391'!L16</f>
        <v>42036000</v>
      </c>
      <c r="D54" s="115"/>
      <c r="E54" s="115"/>
      <c r="F54" s="115"/>
      <c r="G54" s="115"/>
      <c r="H54" s="115"/>
      <c r="I54" s="115"/>
      <c r="J54" s="113"/>
      <c r="K54" s="118"/>
      <c r="L54" s="109"/>
      <c r="M54" s="109"/>
      <c r="N54" s="108"/>
      <c r="O54" s="108"/>
      <c r="P54" s="108"/>
    </row>
    <row r="55" spans="1:16" ht="18" customHeight="1">
      <c r="A55" s="133">
        <v>40</v>
      </c>
      <c r="B55" s="134" t="s">
        <v>450</v>
      </c>
      <c r="C55" s="142">
        <f>'401'!N18</f>
        <v>2940000</v>
      </c>
      <c r="D55" s="115"/>
      <c r="E55" s="115"/>
      <c r="F55" s="115"/>
      <c r="G55" s="115"/>
      <c r="H55" s="115"/>
      <c r="I55" s="115"/>
      <c r="J55" s="113"/>
      <c r="K55" s="119"/>
      <c r="L55" s="109"/>
      <c r="M55" s="109"/>
      <c r="N55" s="108"/>
      <c r="O55" s="108"/>
      <c r="P55" s="108"/>
    </row>
    <row r="56" spans="1:16" ht="18" customHeight="1">
      <c r="A56" s="133">
        <v>41</v>
      </c>
      <c r="B56" s="134" t="s">
        <v>455</v>
      </c>
      <c r="C56" s="142">
        <f>'083'!D15</f>
        <v>36000000</v>
      </c>
      <c r="D56" s="115"/>
      <c r="E56" s="115"/>
      <c r="F56" s="115"/>
      <c r="G56" s="115"/>
      <c r="H56" s="115"/>
      <c r="I56" s="115"/>
      <c r="J56" s="113"/>
      <c r="K56" s="119"/>
      <c r="L56" s="109"/>
      <c r="M56" s="109"/>
      <c r="N56" s="108"/>
      <c r="O56" s="108"/>
      <c r="P56" s="108"/>
    </row>
    <row r="57" spans="1:16" ht="18" customHeight="1">
      <c r="A57" s="133">
        <v>42</v>
      </c>
      <c r="B57" s="134" t="s">
        <v>463</v>
      </c>
      <c r="C57" s="142" t="e">
        <f>#REF!</f>
        <v>#REF!</v>
      </c>
      <c r="D57" s="115"/>
      <c r="E57" s="115"/>
      <c r="F57" s="115"/>
      <c r="G57" s="115"/>
      <c r="H57" s="115"/>
      <c r="I57" s="115"/>
      <c r="J57" s="113"/>
      <c r="K57" s="119"/>
      <c r="L57" s="109"/>
      <c r="M57" s="109"/>
      <c r="N57" s="108"/>
      <c r="O57" s="108"/>
      <c r="P57" s="108"/>
    </row>
    <row r="58" spans="1:16" ht="18" customHeight="1" thickBot="1">
      <c r="A58" s="135"/>
      <c r="B58" s="136" t="s">
        <v>317</v>
      </c>
      <c r="C58" s="141"/>
      <c r="D58" s="120"/>
      <c r="E58" s="120"/>
      <c r="F58" s="120"/>
      <c r="G58" s="120"/>
      <c r="H58" s="120"/>
      <c r="I58" s="120"/>
      <c r="J58" s="121"/>
      <c r="K58" s="121"/>
      <c r="L58" s="122"/>
      <c r="M58" s="122"/>
      <c r="N58" s="108"/>
      <c r="O58" s="108"/>
      <c r="P58" s="108"/>
    </row>
    <row r="59" spans="1:16" ht="18" customHeight="1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16" ht="18" customHeight="1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16" ht="18" customHeight="1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16" ht="18" customHeight="1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16" ht="18" customHeight="1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1:16" ht="18" customHeight="1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4:16" ht="18" customHeight="1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4:16" ht="18" customHeight="1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4:16" ht="18" customHeight="1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4:16" ht="18" customHeight="1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4:16" ht="18" customHeight="1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4:16" ht="18" customHeight="1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4:16" ht="18" customHeight="1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4:16" ht="18" customHeight="1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4:16" ht="18" customHeight="1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4:16" ht="18" customHeight="1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4:16" ht="18" customHeight="1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4:16" ht="18" customHeight="1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4:16" ht="18" customHeight="1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4:16" ht="18" customHeight="1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4:16" ht="18" customHeight="1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4:16" ht="18" customHeight="1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4:16" ht="18" customHeight="1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4:16" ht="18" customHeight="1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4:16" ht="18" customHeight="1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4:16" ht="18" customHeight="1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4:16" ht="18" customHeight="1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4:16" ht="18" customHeight="1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4:16" ht="18" customHeight="1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4:16" ht="18" customHeight="1"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4:16" ht="18" customHeight="1"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4:16" ht="18" customHeight="1"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4:16" ht="18" customHeight="1"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4:16" ht="18" customHeight="1"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4:16" ht="18" customHeight="1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4:16" ht="18" customHeight="1"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4:16" ht="18" customHeight="1"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4:16" ht="18" customHeight="1"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4:16" ht="18" customHeight="1"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4:16" ht="18" customHeight="1"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4:16" ht="18" customHeight="1"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4:16" ht="18" customHeight="1"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4:16" ht="18" customHeight="1"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4:16" ht="18" customHeight="1"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4:16" ht="18" customHeight="1"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4:16" ht="18" customHeight="1"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4:16" ht="18" customHeight="1"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4:16" ht="18" customHeight="1"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4:16" ht="18" customHeight="1"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4:16" ht="18" customHeight="1"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4:16" ht="18" customHeight="1"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4:16" ht="18" customHeight="1"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4:16" ht="18" customHeight="1"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4:16" ht="18" customHeight="1"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4:16" ht="18" customHeight="1"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4:16" ht="18" customHeight="1"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</sheetData>
  <pageMargins left="0.7" right="0.7" top="0.75" bottom="0.75" header="0.3" footer="0.3"/>
  <pageSetup scale="65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C58" sqref="C58"/>
    </sheetView>
  </sheetViews>
  <sheetFormatPr defaultRowHeight="12.75"/>
  <cols>
    <col min="2" max="2" width="49" bestFit="1" customWidth="1"/>
    <col min="3" max="3" width="17" customWidth="1"/>
    <col min="4" max="4" width="15.1640625" bestFit="1" customWidth="1"/>
  </cols>
  <sheetData>
    <row r="1" spans="1:4" ht="15.75">
      <c r="A1" s="145" t="s">
        <v>40</v>
      </c>
      <c r="B1" s="146" t="s">
        <v>45</v>
      </c>
      <c r="C1" s="146" t="s">
        <v>476</v>
      </c>
    </row>
    <row r="2" spans="1:4" ht="15.75">
      <c r="A2" s="147">
        <v>1</v>
      </c>
      <c r="B2" s="148" t="s">
        <v>91</v>
      </c>
      <c r="C2" s="159"/>
    </row>
    <row r="3" spans="1:4" ht="15.75">
      <c r="A3" s="147" t="s">
        <v>70</v>
      </c>
      <c r="B3" s="148" t="s">
        <v>90</v>
      </c>
      <c r="C3" s="159"/>
    </row>
    <row r="4" spans="1:4" ht="15.75">
      <c r="A4" s="147" t="s">
        <v>69</v>
      </c>
      <c r="B4" s="148" t="s">
        <v>203</v>
      </c>
      <c r="C4" s="159"/>
    </row>
    <row r="5" spans="1:4" ht="15.75">
      <c r="A5" s="147">
        <v>2</v>
      </c>
      <c r="B5" s="148" t="s">
        <v>88</v>
      </c>
      <c r="C5" s="159" t="e">
        <f>'021'!#REF!</f>
        <v>#REF!</v>
      </c>
    </row>
    <row r="6" spans="1:4" ht="15.75">
      <c r="A6" s="147">
        <v>3</v>
      </c>
      <c r="B6" s="148" t="s">
        <v>89</v>
      </c>
      <c r="C6" s="159">
        <v>300000000</v>
      </c>
    </row>
    <row r="7" spans="1:4" ht="15.75">
      <c r="A7" s="147">
        <v>4</v>
      </c>
      <c r="B7" s="148" t="s">
        <v>202</v>
      </c>
      <c r="C7" s="159"/>
    </row>
    <row r="8" spans="1:4" ht="15.75">
      <c r="A8" s="147">
        <v>5</v>
      </c>
      <c r="B8" s="148" t="s">
        <v>423</v>
      </c>
      <c r="C8" s="159">
        <v>135000000</v>
      </c>
      <c r="D8" s="80"/>
    </row>
    <row r="9" spans="1:4" ht="15.75">
      <c r="A9" s="147">
        <v>6</v>
      </c>
      <c r="B9" s="148" t="s">
        <v>83</v>
      </c>
      <c r="C9" s="159"/>
    </row>
    <row r="10" spans="1:4" ht="15.75">
      <c r="A10" s="147">
        <v>7</v>
      </c>
      <c r="B10" s="148" t="s">
        <v>82</v>
      </c>
      <c r="C10" s="159">
        <v>59500000</v>
      </c>
    </row>
    <row r="11" spans="1:4" ht="15.75">
      <c r="A11" s="147">
        <v>8</v>
      </c>
      <c r="B11" s="148" t="s">
        <v>319</v>
      </c>
      <c r="C11" s="159">
        <v>969923500</v>
      </c>
    </row>
    <row r="12" spans="1:4" ht="15.75">
      <c r="A12" s="147" t="s">
        <v>14</v>
      </c>
      <c r="B12" s="148" t="s">
        <v>189</v>
      </c>
      <c r="C12" s="159"/>
    </row>
    <row r="13" spans="1:4" ht="15.75">
      <c r="A13" s="147">
        <v>9</v>
      </c>
      <c r="B13" s="148" t="s">
        <v>121</v>
      </c>
      <c r="C13" s="159"/>
    </row>
    <row r="14" spans="1:4" ht="15.75">
      <c r="A14" s="147">
        <v>10</v>
      </c>
      <c r="B14" s="148" t="s">
        <v>329</v>
      </c>
      <c r="C14" s="159"/>
    </row>
    <row r="15" spans="1:4" ht="15.75">
      <c r="A15" s="147" t="s">
        <v>68</v>
      </c>
      <c r="B15" s="148" t="s">
        <v>201</v>
      </c>
      <c r="C15" s="159"/>
    </row>
    <row r="16" spans="1:4" ht="15.75">
      <c r="A16" s="147" t="s">
        <v>192</v>
      </c>
      <c r="B16" s="148" t="s">
        <v>200</v>
      </c>
      <c r="C16" s="159"/>
    </row>
    <row r="17" spans="1:3" ht="15.75">
      <c r="A17" s="147" t="s">
        <v>186</v>
      </c>
      <c r="B17" s="148" t="s">
        <v>194</v>
      </c>
      <c r="C17" s="159"/>
    </row>
    <row r="18" spans="1:3" ht="15.75">
      <c r="A18" s="147" t="s">
        <v>185</v>
      </c>
      <c r="B18" s="148" t="s">
        <v>195</v>
      </c>
      <c r="C18" s="159"/>
    </row>
    <row r="19" spans="1:3" ht="15.75">
      <c r="A19" s="147">
        <v>11</v>
      </c>
      <c r="B19" s="148" t="s">
        <v>112</v>
      </c>
      <c r="C19" s="159">
        <v>27608000</v>
      </c>
    </row>
    <row r="20" spans="1:3" ht="15.75">
      <c r="A20" s="147" t="s">
        <v>190</v>
      </c>
      <c r="B20" s="148" t="s">
        <v>197</v>
      </c>
      <c r="C20" s="159"/>
    </row>
    <row r="21" spans="1:3" ht="15.75">
      <c r="A21" s="147" t="s">
        <v>71</v>
      </c>
      <c r="B21" s="148" t="s">
        <v>72</v>
      </c>
      <c r="C21" s="159"/>
    </row>
    <row r="22" spans="1:3" ht="15.75">
      <c r="A22" s="147" t="s">
        <v>193</v>
      </c>
      <c r="B22" s="148" t="s">
        <v>196</v>
      </c>
      <c r="C22" s="159"/>
    </row>
    <row r="23" spans="1:3" ht="15.75">
      <c r="A23" s="147" t="s">
        <v>352</v>
      </c>
      <c r="B23" s="148" t="s">
        <v>139</v>
      </c>
      <c r="C23" s="159"/>
    </row>
    <row r="24" spans="1:3" ht="15.75">
      <c r="A24" s="147">
        <v>12</v>
      </c>
      <c r="B24" s="148" t="s">
        <v>87</v>
      </c>
      <c r="C24" s="159">
        <v>26950000</v>
      </c>
    </row>
    <row r="25" spans="1:3" ht="15.75">
      <c r="A25" s="147" t="s">
        <v>191</v>
      </c>
      <c r="B25" s="148" t="s">
        <v>75</v>
      </c>
      <c r="C25" s="159">
        <v>5213600</v>
      </c>
    </row>
    <row r="26" spans="1:3" ht="15.75">
      <c r="A26" s="147">
        <v>13</v>
      </c>
      <c r="B26" s="148" t="s">
        <v>199</v>
      </c>
      <c r="C26" s="159">
        <v>22492064</v>
      </c>
    </row>
    <row r="27" spans="1:3" ht="15.75">
      <c r="A27" s="147" t="s">
        <v>22</v>
      </c>
      <c r="B27" s="148" t="s">
        <v>60</v>
      </c>
      <c r="C27" s="159"/>
    </row>
    <row r="28" spans="1:3" ht="15.75">
      <c r="A28" s="147">
        <v>14</v>
      </c>
      <c r="B28" s="148" t="s">
        <v>325</v>
      </c>
      <c r="C28" s="159">
        <v>28000000</v>
      </c>
    </row>
    <row r="29" spans="1:3" ht="15.75">
      <c r="A29" s="147">
        <v>15</v>
      </c>
      <c r="B29" s="148" t="s">
        <v>80</v>
      </c>
      <c r="C29" s="159">
        <v>260000000</v>
      </c>
    </row>
    <row r="30" spans="1:3" ht="15.75">
      <c r="A30" s="147">
        <v>16</v>
      </c>
      <c r="B30" s="148" t="s">
        <v>320</v>
      </c>
      <c r="C30" s="159">
        <v>23429200</v>
      </c>
    </row>
    <row r="31" spans="1:3" ht="15.75">
      <c r="A31" s="147">
        <v>17</v>
      </c>
      <c r="B31" s="148" t="s">
        <v>321</v>
      </c>
      <c r="C31" s="159"/>
    </row>
    <row r="32" spans="1:3" ht="15.75">
      <c r="A32" s="147">
        <v>18</v>
      </c>
      <c r="B32" s="148" t="s">
        <v>324</v>
      </c>
      <c r="C32" s="159"/>
    </row>
    <row r="33" spans="1:3" ht="15.75">
      <c r="A33" s="147">
        <v>19</v>
      </c>
      <c r="B33" s="148" t="s">
        <v>97</v>
      </c>
      <c r="C33" s="159">
        <v>27448000</v>
      </c>
    </row>
    <row r="34" spans="1:3" ht="15.75">
      <c r="A34" s="147">
        <v>20</v>
      </c>
      <c r="B34" s="148" t="s">
        <v>454</v>
      </c>
      <c r="C34" s="159"/>
    </row>
    <row r="35" spans="1:3" ht="15.75">
      <c r="A35" s="147" t="s">
        <v>448</v>
      </c>
      <c r="B35" s="148" t="s">
        <v>449</v>
      </c>
      <c r="C35" s="159"/>
    </row>
    <row r="36" spans="1:3" ht="15.75">
      <c r="A36" s="147">
        <v>21</v>
      </c>
      <c r="B36" s="148" t="s">
        <v>86</v>
      </c>
      <c r="C36" s="159">
        <v>8400000</v>
      </c>
    </row>
    <row r="37" spans="1:3" ht="15.75">
      <c r="A37" s="147">
        <v>22</v>
      </c>
      <c r="B37" s="148" t="s">
        <v>327</v>
      </c>
      <c r="C37" s="159">
        <v>3500000</v>
      </c>
    </row>
    <row r="38" spans="1:3" ht="15.75">
      <c r="A38" s="147">
        <v>23</v>
      </c>
      <c r="B38" s="148" t="s">
        <v>328</v>
      </c>
      <c r="C38" s="159">
        <v>13256320</v>
      </c>
    </row>
    <row r="39" spans="1:3" ht="15.75">
      <c r="A39" s="147">
        <v>24</v>
      </c>
      <c r="B39" s="148" t="s">
        <v>198</v>
      </c>
      <c r="C39" s="159"/>
    </row>
    <row r="40" spans="1:3" ht="15.75">
      <c r="A40" s="147">
        <v>25</v>
      </c>
      <c r="B40" s="148" t="s">
        <v>326</v>
      </c>
      <c r="C40" s="159"/>
    </row>
    <row r="41" spans="1:3" ht="15.75">
      <c r="A41" s="147">
        <v>26</v>
      </c>
      <c r="B41" s="148" t="s">
        <v>331</v>
      </c>
      <c r="C41" s="159"/>
    </row>
    <row r="42" spans="1:3" ht="15.75">
      <c r="A42" s="147">
        <v>27</v>
      </c>
      <c r="B42" s="148" t="s">
        <v>85</v>
      </c>
      <c r="C42" s="159">
        <v>6300000</v>
      </c>
    </row>
    <row r="43" spans="1:3" ht="15.75">
      <c r="A43" s="147">
        <v>28</v>
      </c>
      <c r="B43" s="148" t="s">
        <v>81</v>
      </c>
      <c r="C43" s="159"/>
    </row>
    <row r="44" spans="1:3" ht="15.75">
      <c r="A44" s="147">
        <v>29</v>
      </c>
      <c r="B44" s="148" t="s">
        <v>390</v>
      </c>
      <c r="C44" s="159">
        <v>4002912</v>
      </c>
    </row>
    <row r="45" spans="1:3" ht="15.75">
      <c r="A45" s="149">
        <v>30</v>
      </c>
      <c r="B45" s="148" t="s">
        <v>318</v>
      </c>
      <c r="C45" s="160">
        <v>16683520</v>
      </c>
    </row>
    <row r="46" spans="1:3" ht="15.75">
      <c r="A46" s="147">
        <v>31</v>
      </c>
      <c r="B46" s="148" t="s">
        <v>323</v>
      </c>
      <c r="C46" s="159">
        <v>37430512</v>
      </c>
    </row>
    <row r="47" spans="1:3" ht="15.75">
      <c r="A47" s="147">
        <v>32</v>
      </c>
      <c r="B47" s="148" t="s">
        <v>77</v>
      </c>
      <c r="C47" s="159"/>
    </row>
    <row r="48" spans="1:3" ht="15.75">
      <c r="A48" s="150">
        <v>33</v>
      </c>
      <c r="B48" s="148" t="s">
        <v>79</v>
      </c>
      <c r="C48" s="159"/>
    </row>
    <row r="49" spans="1:3" ht="15.75">
      <c r="A49" s="150">
        <v>34</v>
      </c>
      <c r="B49" s="148" t="s">
        <v>94</v>
      </c>
      <c r="C49" s="159"/>
    </row>
    <row r="50" spans="1:3" ht="15.75">
      <c r="A50" s="151">
        <v>35</v>
      </c>
      <c r="B50" s="152" t="s">
        <v>316</v>
      </c>
      <c r="C50" s="160"/>
    </row>
    <row r="51" spans="1:3" ht="15.75">
      <c r="A51" s="153">
        <v>36</v>
      </c>
      <c r="B51" s="154" t="s">
        <v>438</v>
      </c>
      <c r="C51" s="159">
        <v>3000000</v>
      </c>
    </row>
    <row r="52" spans="1:3" ht="15.75">
      <c r="A52" s="155">
        <v>37</v>
      </c>
      <c r="B52" s="156" t="s">
        <v>330</v>
      </c>
      <c r="C52" s="161"/>
    </row>
    <row r="53" spans="1:3" ht="15.75">
      <c r="A53" s="155">
        <v>38</v>
      </c>
      <c r="B53" s="156" t="s">
        <v>389</v>
      </c>
      <c r="C53" s="162">
        <v>12600000</v>
      </c>
    </row>
    <row r="54" spans="1:3" ht="15.75">
      <c r="A54" s="155">
        <v>39</v>
      </c>
      <c r="B54" s="156" t="s">
        <v>435</v>
      </c>
      <c r="C54" s="161"/>
    </row>
    <row r="55" spans="1:3" ht="15.75">
      <c r="A55" s="155">
        <v>40</v>
      </c>
      <c r="B55" s="156" t="s">
        <v>450</v>
      </c>
      <c r="C55" s="161"/>
    </row>
    <row r="56" spans="1:3" ht="15.75">
      <c r="A56" s="155">
        <v>41</v>
      </c>
      <c r="B56" s="156" t="s">
        <v>455</v>
      </c>
      <c r="C56" s="161"/>
    </row>
    <row r="57" spans="1:3" ht="15.75">
      <c r="A57" s="155">
        <v>42</v>
      </c>
      <c r="B57" s="156" t="s">
        <v>463</v>
      </c>
      <c r="C57" s="161"/>
    </row>
    <row r="58" spans="1:3" ht="16.5" thickBot="1">
      <c r="A58" s="157"/>
      <c r="B58" s="158" t="s">
        <v>317</v>
      </c>
      <c r="C58" s="163" t="e">
        <f>SUM(C2:C57)</f>
        <v>#REF!</v>
      </c>
    </row>
  </sheetData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60" workbookViewId="0">
      <selection activeCell="Q13" sqref="Q13"/>
    </sheetView>
  </sheetViews>
  <sheetFormatPr defaultRowHeight="23.25"/>
  <cols>
    <col min="1" max="1" width="9.33203125" style="67"/>
    <col min="2" max="2" width="57" style="67" bestFit="1" customWidth="1"/>
    <col min="3" max="5" width="16.33203125" style="67" hidden="1" customWidth="1"/>
    <col min="6" max="8" width="9.33203125" style="67" hidden="1" customWidth="1"/>
    <col min="9" max="9" width="16.33203125" style="67" hidden="1" customWidth="1"/>
    <col min="10" max="10" width="17.6640625" style="67" hidden="1" customWidth="1"/>
    <col min="11" max="11" width="24.83203125" style="67" bestFit="1" customWidth="1"/>
    <col min="12" max="12" width="25.33203125" style="67" bestFit="1" customWidth="1"/>
    <col min="13" max="13" width="15.5" style="67" bestFit="1" customWidth="1"/>
    <col min="14" max="14" width="9.33203125" style="67" hidden="1" customWidth="1"/>
    <col min="15" max="16384" width="9.33203125" style="67"/>
  </cols>
  <sheetData>
    <row r="1" spans="1:13">
      <c r="A1" s="23" t="s">
        <v>39</v>
      </c>
      <c r="B1" s="34">
        <v>8</v>
      </c>
      <c r="C1" s="33"/>
      <c r="D1" s="33"/>
      <c r="E1" s="33"/>
      <c r="F1" s="33"/>
      <c r="G1" s="33"/>
      <c r="H1" s="33"/>
      <c r="I1" s="33"/>
      <c r="J1" s="33"/>
      <c r="K1" s="33"/>
      <c r="L1" s="22"/>
      <c r="M1" s="22"/>
    </row>
    <row r="2" spans="1:13">
      <c r="A2" s="23" t="s">
        <v>211</v>
      </c>
      <c r="B2" s="22" t="s">
        <v>137</v>
      </c>
      <c r="C2" s="33"/>
      <c r="D2" s="33"/>
      <c r="E2" s="33"/>
      <c r="F2" s="33"/>
      <c r="G2" s="33"/>
      <c r="H2" s="70"/>
      <c r="I2" s="70"/>
      <c r="J2" s="70" t="s">
        <v>151</v>
      </c>
      <c r="K2" s="70" t="s">
        <v>257</v>
      </c>
      <c r="L2" s="33" t="s">
        <v>439</v>
      </c>
      <c r="M2" s="33" t="s">
        <v>3</v>
      </c>
    </row>
    <row r="3" spans="1:13">
      <c r="A3" s="23" t="s">
        <v>212</v>
      </c>
      <c r="B3" s="22" t="s">
        <v>213</v>
      </c>
      <c r="C3" s="33">
        <v>61545000</v>
      </c>
      <c r="D3" s="33">
        <v>74124000</v>
      </c>
      <c r="E3" s="33">
        <v>64128000</v>
      </c>
      <c r="F3" s="33">
        <v>72660000</v>
      </c>
      <c r="G3" s="33">
        <v>72660000</v>
      </c>
      <c r="H3" s="33">
        <f>72660000+42936000</f>
        <v>115596000</v>
      </c>
      <c r="I3" s="33">
        <f>150274800+4149600+13104000+3198000</f>
        <v>170726400</v>
      </c>
      <c r="J3" s="33"/>
      <c r="K3" s="33"/>
      <c r="L3" s="33"/>
      <c r="M3" s="33"/>
    </row>
    <row r="4" spans="1:13">
      <c r="A4" s="69" t="s">
        <v>210</v>
      </c>
      <c r="B4" s="33" t="s">
        <v>371</v>
      </c>
      <c r="C4" s="33">
        <v>1180900</v>
      </c>
      <c r="D4" s="33"/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305572400</v>
      </c>
      <c r="K4" s="171"/>
      <c r="L4" s="33"/>
      <c r="M4" s="33"/>
    </row>
    <row r="5" spans="1:13">
      <c r="A5" s="69" t="s">
        <v>214</v>
      </c>
      <c r="B5" s="33" t="s">
        <v>528</v>
      </c>
      <c r="C5" s="33">
        <v>1123486000</v>
      </c>
      <c r="D5" s="33">
        <v>1227036000</v>
      </c>
      <c r="E5" s="33">
        <v>1192428000</v>
      </c>
      <c r="F5" s="33">
        <f>1935276000+1200000</f>
        <v>1936476000</v>
      </c>
      <c r="G5" s="33">
        <f>1936476000+600000000</f>
        <v>2536476000</v>
      </c>
      <c r="H5" s="33">
        <f>2529276000+54000000</f>
        <v>2583276000</v>
      </c>
      <c r="I5" s="33">
        <f>2530476000+4800000</f>
        <v>2535276000</v>
      </c>
      <c r="J5" s="33">
        <v>0</v>
      </c>
      <c r="K5" s="171">
        <v>390000000</v>
      </c>
      <c r="L5" s="33">
        <v>390000000</v>
      </c>
      <c r="M5" s="33"/>
    </row>
    <row r="6" spans="1:13">
      <c r="A6" s="69" t="s">
        <v>445</v>
      </c>
      <c r="B6" s="33" t="s">
        <v>370</v>
      </c>
      <c r="C6" s="33"/>
      <c r="D6" s="33"/>
      <c r="E6" s="33"/>
      <c r="F6" s="33"/>
      <c r="G6" s="33"/>
      <c r="H6" s="33"/>
      <c r="I6" s="33"/>
      <c r="J6" s="33"/>
      <c r="K6" s="171"/>
      <c r="L6" s="33"/>
      <c r="M6" s="33"/>
    </row>
    <row r="7" spans="1:13">
      <c r="A7" s="69" t="s">
        <v>215</v>
      </c>
      <c r="B7" s="33" t="s">
        <v>347</v>
      </c>
      <c r="C7" s="33"/>
      <c r="D7" s="33"/>
      <c r="E7" s="33"/>
      <c r="F7" s="33"/>
      <c r="G7" s="33"/>
      <c r="H7" s="33"/>
      <c r="I7" s="33"/>
      <c r="J7" s="33">
        <v>338400000</v>
      </c>
      <c r="K7" s="171">
        <v>195000000</v>
      </c>
      <c r="L7" s="33">
        <v>195000000</v>
      </c>
      <c r="M7" s="33"/>
    </row>
    <row r="8" spans="1:13">
      <c r="A8" s="69" t="s">
        <v>216</v>
      </c>
      <c r="B8" s="33" t="s">
        <v>465</v>
      </c>
      <c r="C8" s="33">
        <v>2500000</v>
      </c>
      <c r="D8" s="33">
        <v>2000000</v>
      </c>
      <c r="E8" s="33">
        <v>2000000</v>
      </c>
      <c r="F8" s="33">
        <v>2000000</v>
      </c>
      <c r="G8" s="33">
        <v>1600000</v>
      </c>
      <c r="H8" s="33">
        <v>41000000</v>
      </c>
      <c r="I8" s="33">
        <v>41000000</v>
      </c>
      <c r="J8" s="33">
        <v>0</v>
      </c>
      <c r="K8" s="171"/>
      <c r="L8" s="33"/>
      <c r="M8" s="33"/>
    </row>
    <row r="9" spans="1:13">
      <c r="A9" s="23" t="s">
        <v>217</v>
      </c>
      <c r="B9" s="22" t="s">
        <v>218</v>
      </c>
      <c r="C9" s="33"/>
      <c r="D9" s="33"/>
      <c r="E9" s="33"/>
      <c r="F9" s="33"/>
      <c r="G9" s="33"/>
      <c r="H9" s="33"/>
      <c r="I9" s="33"/>
      <c r="J9" s="33">
        <v>0</v>
      </c>
      <c r="K9" s="171"/>
      <c r="L9" s="33"/>
      <c r="M9" s="33"/>
    </row>
    <row r="10" spans="1:13">
      <c r="A10" s="69" t="s">
        <v>219</v>
      </c>
      <c r="B10" s="33" t="s">
        <v>369</v>
      </c>
      <c r="C10" s="33">
        <v>0</v>
      </c>
      <c r="D10" s="33">
        <v>0</v>
      </c>
      <c r="E10" s="33">
        <v>0</v>
      </c>
      <c r="F10" s="33">
        <v>0</v>
      </c>
      <c r="G10" s="33"/>
      <c r="H10" s="33">
        <v>0</v>
      </c>
      <c r="I10" s="33">
        <v>0</v>
      </c>
      <c r="J10" s="33">
        <v>0</v>
      </c>
      <c r="K10" s="171"/>
      <c r="L10" s="33"/>
      <c r="M10" s="33"/>
    </row>
    <row r="11" spans="1:13">
      <c r="A11" s="69" t="s">
        <v>221</v>
      </c>
      <c r="B11" s="33" t="s">
        <v>180</v>
      </c>
      <c r="C11" s="33">
        <v>56250000</v>
      </c>
      <c r="D11" s="33">
        <v>65000000</v>
      </c>
      <c r="E11" s="33">
        <v>65000000</v>
      </c>
      <c r="F11" s="33">
        <v>65000000</v>
      </c>
      <c r="G11" s="33">
        <v>86788800</v>
      </c>
      <c r="H11" s="33">
        <v>141500000</v>
      </c>
      <c r="I11" s="33">
        <v>200000000</v>
      </c>
      <c r="J11" s="33">
        <v>6869200</v>
      </c>
      <c r="K11" s="171"/>
      <c r="L11" s="33"/>
      <c r="M11" s="33"/>
    </row>
    <row r="12" spans="1:13">
      <c r="A12" s="69" t="s">
        <v>220</v>
      </c>
      <c r="B12" s="33" t="s">
        <v>223</v>
      </c>
      <c r="C12" s="33">
        <v>18000000</v>
      </c>
      <c r="D12" s="33">
        <f>25000000-2000000</f>
        <v>23000000</v>
      </c>
      <c r="E12" s="33">
        <v>23000000</v>
      </c>
      <c r="F12" s="33">
        <v>23000000</v>
      </c>
      <c r="G12" s="33">
        <v>18400000</v>
      </c>
      <c r="H12" s="33">
        <v>56000000</v>
      </c>
      <c r="I12" s="33">
        <v>100000000</v>
      </c>
      <c r="J12" s="33">
        <v>0</v>
      </c>
      <c r="K12" s="171"/>
      <c r="L12" s="33"/>
      <c r="M12" s="33"/>
    </row>
    <row r="13" spans="1:13">
      <c r="A13" s="69"/>
      <c r="B13" s="22" t="s">
        <v>92</v>
      </c>
      <c r="C13" s="33">
        <v>11878000</v>
      </c>
      <c r="D13" s="33">
        <f>2000000+2000000</f>
        <v>4000000</v>
      </c>
      <c r="E13" s="33">
        <v>2000000</v>
      </c>
      <c r="F13" s="33">
        <v>2000000</v>
      </c>
      <c r="G13" s="33">
        <v>1600000</v>
      </c>
      <c r="H13" s="33">
        <v>30000000</v>
      </c>
      <c r="I13" s="33">
        <v>60000000</v>
      </c>
      <c r="J13" s="22">
        <f>SUM(J4:J12)</f>
        <v>650841600</v>
      </c>
      <c r="K13" s="172">
        <f>SUM(K5:K12)</f>
        <v>585000000</v>
      </c>
      <c r="L13" s="22">
        <f>SUM(L4:L12)</f>
        <v>585000000</v>
      </c>
      <c r="M13" s="33"/>
    </row>
    <row r="14" spans="1:13">
      <c r="A14" s="23" t="s">
        <v>224</v>
      </c>
      <c r="B14" s="22" t="s">
        <v>225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200000000</v>
      </c>
      <c r="I14" s="33">
        <v>200000000</v>
      </c>
      <c r="J14" s="33"/>
      <c r="K14" s="171"/>
      <c r="L14" s="33"/>
      <c r="M14" s="33"/>
    </row>
    <row r="15" spans="1:13">
      <c r="A15" s="23" t="s">
        <v>227</v>
      </c>
      <c r="B15" s="22" t="s">
        <v>226</v>
      </c>
      <c r="C15" s="33"/>
      <c r="D15" s="33"/>
      <c r="E15" s="33"/>
      <c r="F15" s="33"/>
      <c r="G15" s="33"/>
      <c r="H15" s="33"/>
      <c r="I15" s="33"/>
      <c r="J15" s="33"/>
      <c r="K15" s="171"/>
      <c r="L15" s="33"/>
      <c r="M15" s="33"/>
    </row>
    <row r="16" spans="1:13">
      <c r="A16" s="69" t="s">
        <v>228</v>
      </c>
      <c r="B16" s="33" t="s">
        <v>33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356850000</v>
      </c>
      <c r="I16" s="33">
        <v>0</v>
      </c>
      <c r="J16" s="33">
        <v>11479200</v>
      </c>
      <c r="K16" s="171"/>
      <c r="L16" s="33"/>
      <c r="M16" s="33"/>
    </row>
    <row r="17" spans="1:13">
      <c r="A17" s="69" t="s">
        <v>229</v>
      </c>
      <c r="B17" s="33" t="s">
        <v>124</v>
      </c>
      <c r="C17" s="33">
        <v>1500000</v>
      </c>
      <c r="D17" s="33">
        <v>5500000</v>
      </c>
      <c r="E17" s="33">
        <v>500000</v>
      </c>
      <c r="F17" s="33">
        <v>500000</v>
      </c>
      <c r="G17" s="33">
        <v>400000</v>
      </c>
      <c r="H17" s="33">
        <v>12000000</v>
      </c>
      <c r="I17" s="33">
        <v>20000000</v>
      </c>
      <c r="J17" s="33">
        <v>0</v>
      </c>
      <c r="K17" s="171"/>
      <c r="L17" s="33"/>
      <c r="M17" s="33"/>
    </row>
    <row r="18" spans="1:13">
      <c r="A18" s="69" t="s">
        <v>230</v>
      </c>
      <c r="B18" s="33" t="s">
        <v>125</v>
      </c>
      <c r="C18" s="33"/>
      <c r="D18" s="33"/>
      <c r="E18" s="33"/>
      <c r="F18" s="33"/>
      <c r="G18" s="33"/>
      <c r="H18" s="33"/>
      <c r="I18" s="33"/>
      <c r="J18" s="33">
        <v>8500000</v>
      </c>
      <c r="K18" s="171"/>
      <c r="L18" s="33"/>
      <c r="M18" s="33"/>
    </row>
    <row r="19" spans="1:13">
      <c r="A19" s="69" t="s">
        <v>231</v>
      </c>
      <c r="B19" s="33" t="s">
        <v>157</v>
      </c>
      <c r="C19" s="33"/>
      <c r="D19" s="33"/>
      <c r="E19" s="33"/>
      <c r="F19" s="33"/>
      <c r="G19" s="33"/>
      <c r="H19" s="33"/>
      <c r="I19" s="33"/>
      <c r="J19" s="33">
        <v>32726886</v>
      </c>
      <c r="K19" s="171"/>
      <c r="L19" s="33">
        <v>50000000</v>
      </c>
      <c r="M19" s="33"/>
    </row>
    <row r="20" spans="1:13">
      <c r="A20" s="69" t="s">
        <v>232</v>
      </c>
      <c r="B20" s="33" t="s">
        <v>408</v>
      </c>
      <c r="C20" s="33"/>
      <c r="D20" s="33"/>
      <c r="E20" s="33"/>
      <c r="F20" s="33"/>
      <c r="G20" s="33"/>
      <c r="H20" s="33"/>
      <c r="I20" s="33"/>
      <c r="J20" s="33">
        <v>136500000</v>
      </c>
      <c r="K20" s="171"/>
      <c r="L20" s="33"/>
      <c r="M20" s="33"/>
    </row>
    <row r="21" spans="1:13">
      <c r="A21" s="69" t="s">
        <v>233</v>
      </c>
      <c r="B21" s="33" t="s">
        <v>126</v>
      </c>
      <c r="C21" s="33">
        <v>2500000</v>
      </c>
      <c r="D21" s="33">
        <v>2000000</v>
      </c>
      <c r="E21" s="33">
        <v>2000000</v>
      </c>
      <c r="F21" s="33">
        <v>2000000</v>
      </c>
      <c r="G21" s="33">
        <v>1600000</v>
      </c>
      <c r="H21" s="33">
        <v>41000000</v>
      </c>
      <c r="I21" s="33">
        <v>41000000</v>
      </c>
      <c r="J21" s="33">
        <v>15735744</v>
      </c>
      <c r="K21" s="171"/>
      <c r="L21" s="33"/>
      <c r="M21" s="33"/>
    </row>
    <row r="22" spans="1:13">
      <c r="A22" s="69" t="s">
        <v>234</v>
      </c>
      <c r="B22" s="33" t="s">
        <v>48</v>
      </c>
      <c r="C22" s="33">
        <f t="shared" ref="C22:I22" si="0">SUM(C16:C21)</f>
        <v>4000000</v>
      </c>
      <c r="D22" s="33">
        <f t="shared" si="0"/>
        <v>7500000</v>
      </c>
      <c r="E22" s="33">
        <f t="shared" si="0"/>
        <v>2500000</v>
      </c>
      <c r="F22" s="33">
        <f t="shared" si="0"/>
        <v>2500000</v>
      </c>
      <c r="G22" s="33">
        <f t="shared" si="0"/>
        <v>2000000</v>
      </c>
      <c r="H22" s="33">
        <f t="shared" si="0"/>
        <v>409850000</v>
      </c>
      <c r="I22" s="22">
        <f t="shared" si="0"/>
        <v>61000000</v>
      </c>
      <c r="J22" s="33">
        <v>19737600</v>
      </c>
      <c r="K22" s="171"/>
      <c r="L22" s="33">
        <v>300000000</v>
      </c>
      <c r="M22" s="33"/>
    </row>
    <row r="23" spans="1:13">
      <c r="A23" s="69" t="s">
        <v>235</v>
      </c>
      <c r="B23" s="33" t="s">
        <v>93</v>
      </c>
      <c r="C23" s="33"/>
      <c r="D23" s="33"/>
      <c r="E23" s="33"/>
      <c r="F23" s="33"/>
      <c r="G23" s="33"/>
      <c r="H23" s="33"/>
      <c r="I23" s="33"/>
      <c r="J23" s="33">
        <v>0</v>
      </c>
      <c r="K23" s="171"/>
      <c r="L23" s="33">
        <v>400000000</v>
      </c>
      <c r="M23" s="33"/>
    </row>
    <row r="24" spans="1:13">
      <c r="A24" s="69" t="s">
        <v>236</v>
      </c>
      <c r="B24" s="33" t="s">
        <v>136</v>
      </c>
      <c r="C24" s="33">
        <v>23000000</v>
      </c>
      <c r="D24" s="33">
        <v>15000000</v>
      </c>
      <c r="E24" s="33">
        <v>8949700</v>
      </c>
      <c r="F24" s="33">
        <v>8949700</v>
      </c>
      <c r="G24" s="33">
        <v>12000000</v>
      </c>
      <c r="H24" s="33">
        <v>80000000</v>
      </c>
      <c r="I24" s="33">
        <v>80000000</v>
      </c>
      <c r="J24" s="33">
        <v>25610000</v>
      </c>
      <c r="K24" s="171"/>
      <c r="L24" s="33">
        <v>20000000</v>
      </c>
      <c r="M24" s="33"/>
    </row>
    <row r="25" spans="1:13">
      <c r="A25" s="69" t="s">
        <v>237</v>
      </c>
      <c r="B25" s="33" t="s">
        <v>35</v>
      </c>
      <c r="C25" s="33">
        <v>10061000</v>
      </c>
      <c r="D25" s="33">
        <v>2000000</v>
      </c>
      <c r="E25" s="33">
        <v>0</v>
      </c>
      <c r="F25" s="33">
        <v>0</v>
      </c>
      <c r="G25" s="33">
        <v>0</v>
      </c>
      <c r="H25" s="33">
        <v>30000000</v>
      </c>
      <c r="I25" s="33">
        <v>40000000</v>
      </c>
      <c r="J25" s="33">
        <v>3038784</v>
      </c>
      <c r="K25" s="171"/>
      <c r="L25" s="33">
        <v>20000000</v>
      </c>
      <c r="M25" s="33"/>
    </row>
    <row r="26" spans="1:13">
      <c r="A26" s="69" t="s">
        <v>377</v>
      </c>
      <c r="B26" s="33" t="s">
        <v>378</v>
      </c>
      <c r="C26" s="33"/>
      <c r="D26" s="33"/>
      <c r="E26" s="33"/>
      <c r="F26" s="33"/>
      <c r="G26" s="33"/>
      <c r="H26" s="33"/>
      <c r="I26" s="33"/>
      <c r="J26" s="33">
        <v>0</v>
      </c>
      <c r="K26" s="171"/>
      <c r="L26" s="33"/>
      <c r="M26" s="33"/>
    </row>
    <row r="27" spans="1:13">
      <c r="A27" s="69" t="s">
        <v>283</v>
      </c>
      <c r="B27" s="33" t="s">
        <v>267</v>
      </c>
      <c r="C27" s="33"/>
      <c r="D27" s="33"/>
      <c r="E27" s="33"/>
      <c r="F27" s="33"/>
      <c r="G27" s="33"/>
      <c r="H27" s="33"/>
      <c r="I27" s="33"/>
      <c r="J27" s="33">
        <v>9256033256</v>
      </c>
      <c r="K27" s="171"/>
      <c r="L27" s="33"/>
      <c r="M27" s="33"/>
    </row>
    <row r="28" spans="1:13">
      <c r="A28" s="69" t="s">
        <v>239</v>
      </c>
      <c r="B28" s="33" t="s">
        <v>187</v>
      </c>
      <c r="C28" s="33">
        <v>3000000</v>
      </c>
      <c r="D28" s="33">
        <v>1500000</v>
      </c>
      <c r="E28" s="33">
        <v>0</v>
      </c>
      <c r="F28" s="33">
        <v>0</v>
      </c>
      <c r="G28" s="33">
        <v>0</v>
      </c>
      <c r="H28" s="33">
        <v>15000000</v>
      </c>
      <c r="I28" s="33">
        <v>20000000</v>
      </c>
      <c r="J28" s="33">
        <v>1355821960</v>
      </c>
      <c r="K28" s="171"/>
      <c r="L28" s="33"/>
      <c r="M28" s="33"/>
    </row>
    <row r="29" spans="1:13">
      <c r="A29" s="173" t="s">
        <v>238</v>
      </c>
      <c r="B29" s="174" t="s">
        <v>436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40000000</v>
      </c>
      <c r="I29" s="174">
        <v>70000000</v>
      </c>
      <c r="J29" s="174">
        <v>0</v>
      </c>
      <c r="K29" s="171"/>
      <c r="L29" s="174"/>
      <c r="M29" s="174"/>
    </row>
    <row r="30" spans="1:13">
      <c r="A30" s="69"/>
      <c r="B30" s="22" t="s">
        <v>92</v>
      </c>
      <c r="C30" s="33">
        <v>0</v>
      </c>
      <c r="D30" s="33">
        <v>0</v>
      </c>
      <c r="E30" s="33">
        <v>0</v>
      </c>
      <c r="F30" s="33">
        <v>0</v>
      </c>
      <c r="G30" s="33">
        <v>16000000</v>
      </c>
      <c r="H30" s="33">
        <v>360113000</v>
      </c>
      <c r="I30" s="33">
        <v>208212162</v>
      </c>
      <c r="J30" s="22">
        <f>SUM(J16:J29)</f>
        <v>10865183430</v>
      </c>
      <c r="K30" s="171"/>
      <c r="L30" s="22">
        <f>SUM(L16:L29)</f>
        <v>790000000</v>
      </c>
      <c r="M30" s="33"/>
    </row>
    <row r="31" spans="1:13">
      <c r="A31" s="23" t="s">
        <v>241</v>
      </c>
      <c r="B31" s="22" t="s">
        <v>240</v>
      </c>
      <c r="C31" s="33"/>
      <c r="D31" s="33"/>
      <c r="E31" s="33"/>
      <c r="F31" s="33"/>
      <c r="G31" s="33"/>
      <c r="H31" s="33"/>
      <c r="I31" s="33">
        <v>0</v>
      </c>
      <c r="J31" s="33"/>
      <c r="K31" s="171"/>
      <c r="L31" s="33"/>
      <c r="M31" s="33"/>
    </row>
    <row r="32" spans="1:13">
      <c r="A32" s="69" t="s">
        <v>242</v>
      </c>
      <c r="B32" s="33" t="s">
        <v>132</v>
      </c>
      <c r="C32" s="22" t="e">
        <f>#REF!+#REF!+#REF!+#REF!+#REF!</f>
        <v>#REF!</v>
      </c>
      <c r="D32" s="22" t="e">
        <f>#REF!+#REF!+#REF!+#REF!+#REF!</f>
        <v>#REF!</v>
      </c>
      <c r="E32" s="22" t="e">
        <f>#REF!+#REF!+#REF!+#REF!+#REF!</f>
        <v>#REF!</v>
      </c>
      <c r="F32" s="22" t="e">
        <f>#REF!+#REF!+#REF!+#REF!+#REF!</f>
        <v>#REF!</v>
      </c>
      <c r="G32" s="22" t="e">
        <f>#REF!+#REF!+#REF!+#REF!+#REF!</f>
        <v>#REF!</v>
      </c>
      <c r="H32" s="22" t="e">
        <f>#REF!+#REF!+#REF!+#REF!+#REF!</f>
        <v>#REF!</v>
      </c>
      <c r="I32" s="22" t="e">
        <f>#REF!+#REF!+#REF!+#REF!+#REF!</f>
        <v>#REF!</v>
      </c>
      <c r="J32" s="33">
        <v>7800000</v>
      </c>
      <c r="K32" s="171"/>
      <c r="L32" s="33"/>
      <c r="M32" s="33"/>
    </row>
    <row r="33" spans="1:13">
      <c r="A33" s="69" t="s">
        <v>243</v>
      </c>
      <c r="B33" s="33" t="s">
        <v>133</v>
      </c>
      <c r="C33" s="68"/>
      <c r="D33" s="68"/>
      <c r="E33" s="68"/>
      <c r="F33" s="32">
        <v>0</v>
      </c>
      <c r="G33" s="32" t="s">
        <v>4</v>
      </c>
      <c r="H33" s="32"/>
      <c r="I33" s="32"/>
      <c r="J33" s="33">
        <v>660119248</v>
      </c>
      <c r="K33" s="171"/>
      <c r="L33" s="33">
        <v>200000000</v>
      </c>
      <c r="M33" s="33"/>
    </row>
    <row r="34" spans="1:13">
      <c r="A34" s="69" t="s">
        <v>244</v>
      </c>
      <c r="B34" s="33" t="s">
        <v>127</v>
      </c>
      <c r="C34" s="68"/>
      <c r="D34" s="68"/>
      <c r="E34" s="68"/>
      <c r="F34" s="32"/>
      <c r="G34" s="32"/>
      <c r="H34" s="32"/>
      <c r="I34" s="32"/>
      <c r="J34" s="33">
        <v>38304400</v>
      </c>
      <c r="K34" s="171"/>
      <c r="L34" s="33"/>
      <c r="M34" s="33"/>
    </row>
    <row r="35" spans="1:13">
      <c r="A35" s="69" t="s">
        <v>245</v>
      </c>
      <c r="B35" s="33" t="s">
        <v>128</v>
      </c>
      <c r="C35" s="33"/>
      <c r="D35" s="33"/>
      <c r="E35" s="33"/>
      <c r="F35" s="33"/>
      <c r="G35" s="33"/>
      <c r="H35" s="33"/>
      <c r="I35" s="33"/>
      <c r="J35" s="33">
        <v>6017984</v>
      </c>
      <c r="K35" s="171"/>
      <c r="L35" s="33">
        <v>10000000</v>
      </c>
      <c r="M35" s="33"/>
    </row>
    <row r="36" spans="1:13">
      <c r="A36" s="69" t="s">
        <v>246</v>
      </c>
      <c r="B36" s="33" t="s">
        <v>134</v>
      </c>
      <c r="C36" s="33">
        <v>4000000</v>
      </c>
      <c r="D36" s="33">
        <v>2000000</v>
      </c>
      <c r="E36" s="33">
        <v>0</v>
      </c>
      <c r="F36" s="33">
        <v>0</v>
      </c>
      <c r="G36" s="33">
        <v>0</v>
      </c>
      <c r="H36" s="33">
        <v>200000000</v>
      </c>
      <c r="I36" s="33">
        <v>200000000</v>
      </c>
      <c r="J36" s="33">
        <v>0</v>
      </c>
      <c r="K36" s="171"/>
      <c r="L36" s="33"/>
      <c r="M36" s="33"/>
    </row>
    <row r="37" spans="1:13">
      <c r="A37" s="69" t="s">
        <v>258</v>
      </c>
      <c r="B37" s="33" t="s">
        <v>188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150000000</v>
      </c>
      <c r="I37" s="33">
        <v>150000000</v>
      </c>
      <c r="J37" s="33">
        <v>21501800</v>
      </c>
      <c r="K37" s="171"/>
      <c r="L37" s="33"/>
      <c r="M37" s="33"/>
    </row>
    <row r="38" spans="1:13">
      <c r="A38" s="69"/>
      <c r="B38" s="22" t="s">
        <v>92</v>
      </c>
      <c r="C38" s="33">
        <v>10089000</v>
      </c>
      <c r="D38" s="33">
        <v>10004000</v>
      </c>
      <c r="E38" s="33">
        <v>20004000</v>
      </c>
      <c r="F38" s="33">
        <v>20004000</v>
      </c>
      <c r="G38" s="33">
        <v>40003200</v>
      </c>
      <c r="H38" s="33">
        <v>100000000</v>
      </c>
      <c r="I38" s="33">
        <v>100000000</v>
      </c>
      <c r="J38" s="22">
        <f>SUM(J32:J37)</f>
        <v>733743432</v>
      </c>
      <c r="K38" s="171"/>
      <c r="L38" s="22">
        <f>SUM(L33:L37)</f>
        <v>210000000</v>
      </c>
      <c r="M38" s="33"/>
    </row>
    <row r="39" spans="1:13">
      <c r="A39" s="23" t="s">
        <v>247</v>
      </c>
      <c r="B39" s="22" t="s">
        <v>130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616200000</v>
      </c>
      <c r="I39" s="33">
        <v>616200000</v>
      </c>
      <c r="J39" s="33"/>
      <c r="K39" s="171"/>
      <c r="L39" s="33"/>
      <c r="M39" s="33"/>
    </row>
    <row r="40" spans="1:13">
      <c r="A40" s="69" t="s">
        <v>248</v>
      </c>
      <c r="B40" s="33" t="s">
        <v>49</v>
      </c>
      <c r="C40" s="33">
        <v>13333000</v>
      </c>
      <c r="D40" s="33">
        <v>5000000</v>
      </c>
      <c r="E40" s="33">
        <v>0</v>
      </c>
      <c r="F40" s="33">
        <v>0</v>
      </c>
      <c r="G40" s="33">
        <v>0</v>
      </c>
      <c r="H40" s="33">
        <v>100000000</v>
      </c>
      <c r="I40" s="33">
        <v>70000000</v>
      </c>
      <c r="J40" s="33">
        <v>59340500</v>
      </c>
      <c r="K40" s="171"/>
      <c r="L40" s="33"/>
      <c r="M40" s="33"/>
    </row>
    <row r="41" spans="1:13">
      <c r="A41" s="69" t="s">
        <v>250</v>
      </c>
      <c r="B41" s="33" t="s">
        <v>249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4424000</v>
      </c>
      <c r="K41" s="171"/>
      <c r="L41" s="33"/>
      <c r="M41" s="33"/>
    </row>
    <row r="42" spans="1:13">
      <c r="A42" s="69"/>
      <c r="B42" s="22" t="s">
        <v>92</v>
      </c>
      <c r="C42" s="22" t="e">
        <f>#REF!+#REF!+C35+C22+#REF!</f>
        <v>#REF!</v>
      </c>
      <c r="D42" s="22" t="e">
        <f>#REF!+#REF!+D35+D22+#REF!</f>
        <v>#REF!</v>
      </c>
      <c r="E42" s="22" t="e">
        <f>#REF!+#REF!+E35+E22+#REF!</f>
        <v>#REF!</v>
      </c>
      <c r="F42" s="22" t="e">
        <f>#REF!+#REF!+F35+F22+#REF!</f>
        <v>#REF!</v>
      </c>
      <c r="G42" s="22" t="e">
        <f>#REF!+#REF!+G22+G35+#REF!</f>
        <v>#REF!</v>
      </c>
      <c r="H42" s="22" t="e">
        <f>#REF!+#REF!+H35+H22+#REF!</f>
        <v>#REF!</v>
      </c>
      <c r="I42" s="22" t="e">
        <f>#REF!+#REF!+I35+I22+#REF!</f>
        <v>#REF!</v>
      </c>
      <c r="J42" s="22">
        <f>SUM(J40:J41)</f>
        <v>63764500</v>
      </c>
      <c r="K42" s="171"/>
      <c r="L42" s="22"/>
      <c r="M42" s="33"/>
    </row>
    <row r="43" spans="1:13">
      <c r="A43" s="23" t="s">
        <v>254</v>
      </c>
      <c r="B43" s="22" t="s">
        <v>253</v>
      </c>
      <c r="C43" s="33"/>
      <c r="D43" s="33"/>
      <c r="E43" s="33"/>
      <c r="F43" s="33"/>
      <c r="G43" s="33"/>
      <c r="H43" s="33"/>
      <c r="I43" s="33"/>
      <c r="J43" s="33"/>
      <c r="K43" s="171"/>
      <c r="L43" s="33"/>
      <c r="M43" s="33"/>
    </row>
    <row r="44" spans="1:13">
      <c r="A44" s="23" t="s">
        <v>255</v>
      </c>
      <c r="B44" s="22" t="s">
        <v>252</v>
      </c>
      <c r="C44" s="33"/>
      <c r="D44" s="33"/>
      <c r="E44" s="33"/>
      <c r="F44" s="33"/>
      <c r="G44" s="33"/>
      <c r="H44" s="33"/>
      <c r="I44" s="33"/>
      <c r="J44" s="33"/>
      <c r="K44" s="171"/>
      <c r="L44" s="33"/>
      <c r="M44" s="33"/>
    </row>
    <row r="45" spans="1:13">
      <c r="A45" s="69" t="s">
        <v>310</v>
      </c>
      <c r="B45" s="33" t="s">
        <v>264</v>
      </c>
      <c r="C45" s="33"/>
      <c r="D45" s="33"/>
      <c r="E45" s="33"/>
      <c r="F45" s="33"/>
      <c r="G45" s="33"/>
      <c r="H45" s="33"/>
      <c r="I45" s="33"/>
      <c r="J45" s="33">
        <v>7480000</v>
      </c>
      <c r="K45" s="171"/>
      <c r="L45" s="33"/>
      <c r="M45" s="33"/>
    </row>
    <row r="46" spans="1:13">
      <c r="A46" s="69" t="s">
        <v>309</v>
      </c>
      <c r="B46" s="33" t="s">
        <v>265</v>
      </c>
      <c r="C46" s="33"/>
      <c r="D46" s="33"/>
      <c r="E46" s="33"/>
      <c r="F46" s="33"/>
      <c r="G46" s="33"/>
      <c r="H46" s="33"/>
      <c r="I46" s="33"/>
      <c r="J46" s="33">
        <v>524149920</v>
      </c>
      <c r="K46" s="171"/>
      <c r="L46" s="33"/>
      <c r="M46" s="33"/>
    </row>
    <row r="47" spans="1:13">
      <c r="A47" s="69" t="s">
        <v>256</v>
      </c>
      <c r="B47" s="33" t="s">
        <v>148</v>
      </c>
      <c r="C47" s="33"/>
      <c r="D47" s="33"/>
      <c r="E47" s="33"/>
      <c r="F47" s="33"/>
      <c r="G47" s="33"/>
      <c r="H47" s="33"/>
      <c r="I47" s="33"/>
      <c r="J47" s="33">
        <v>0</v>
      </c>
      <c r="K47" s="171"/>
      <c r="L47" s="33"/>
      <c r="M47" s="33"/>
    </row>
    <row r="48" spans="1:13">
      <c r="A48" s="69" t="s">
        <v>406</v>
      </c>
      <c r="B48" s="33" t="s">
        <v>407</v>
      </c>
      <c r="C48" s="33"/>
      <c r="D48" s="33"/>
      <c r="E48" s="33"/>
      <c r="F48" s="33"/>
      <c r="G48" s="33"/>
      <c r="H48" s="33"/>
      <c r="I48" s="33"/>
      <c r="J48" s="33">
        <v>0</v>
      </c>
      <c r="K48" s="171"/>
      <c r="L48" s="33"/>
      <c r="M48" s="33"/>
    </row>
    <row r="49" spans="1:13">
      <c r="A49" s="69"/>
      <c r="B49" s="22" t="s">
        <v>92</v>
      </c>
      <c r="C49" s="33"/>
      <c r="D49" s="33"/>
      <c r="E49" s="33"/>
      <c r="F49" s="33"/>
      <c r="G49" s="33"/>
      <c r="H49" s="33"/>
      <c r="I49" s="33"/>
      <c r="J49" s="22">
        <f>SUM(J45:J48)</f>
        <v>531629920</v>
      </c>
      <c r="K49" s="171"/>
      <c r="L49" s="22"/>
      <c r="M49" s="33"/>
    </row>
    <row r="50" spans="1:13">
      <c r="A50" s="23" t="s">
        <v>529</v>
      </c>
      <c r="B50" s="22" t="s">
        <v>530</v>
      </c>
      <c r="C50" s="33"/>
      <c r="D50" s="33"/>
      <c r="E50" s="33"/>
      <c r="F50" s="33"/>
      <c r="G50" s="33"/>
      <c r="H50" s="33"/>
      <c r="I50" s="33"/>
      <c r="J50" s="22"/>
      <c r="K50" s="171"/>
      <c r="L50" s="22"/>
      <c r="M50" s="33"/>
    </row>
    <row r="51" spans="1:13">
      <c r="A51" s="69" t="s">
        <v>531</v>
      </c>
      <c r="B51" s="33" t="s">
        <v>532</v>
      </c>
      <c r="C51" s="33"/>
      <c r="D51" s="33"/>
      <c r="E51" s="33"/>
      <c r="F51" s="33"/>
      <c r="G51" s="33"/>
      <c r="H51" s="33"/>
      <c r="I51" s="33"/>
      <c r="J51" s="22"/>
      <c r="K51" s="171"/>
      <c r="L51" s="22">
        <v>900000000</v>
      </c>
      <c r="M51" s="33"/>
    </row>
    <row r="52" spans="1:13" s="179" customFormat="1">
      <c r="A52" s="176" t="s">
        <v>425</v>
      </c>
      <c r="B52" s="177" t="s">
        <v>426</v>
      </c>
      <c r="C52" s="81"/>
      <c r="D52" s="81"/>
      <c r="E52" s="81"/>
      <c r="F52" s="81"/>
      <c r="G52" s="81"/>
      <c r="H52" s="81"/>
      <c r="I52" s="81"/>
      <c r="J52" s="81"/>
      <c r="K52" s="178"/>
      <c r="L52" s="81"/>
      <c r="M52" s="81"/>
    </row>
    <row r="53" spans="1:13">
      <c r="A53" s="69" t="s">
        <v>340</v>
      </c>
      <c r="B53" s="33" t="s">
        <v>422</v>
      </c>
      <c r="C53" s="33"/>
      <c r="D53" s="33"/>
      <c r="E53" s="33"/>
      <c r="F53" s="33"/>
      <c r="G53" s="33"/>
      <c r="H53" s="33"/>
      <c r="I53" s="33"/>
      <c r="J53" s="33">
        <v>350400000</v>
      </c>
      <c r="K53" s="171"/>
      <c r="L53" s="33"/>
      <c r="M53" s="33"/>
    </row>
    <row r="54" spans="1:13">
      <c r="A54" s="69"/>
      <c r="B54" s="22" t="s">
        <v>92</v>
      </c>
      <c r="C54" s="33"/>
      <c r="D54" s="33"/>
      <c r="E54" s="33"/>
      <c r="F54" s="33"/>
      <c r="G54" s="33"/>
      <c r="H54" s="33"/>
      <c r="I54" s="33"/>
      <c r="J54" s="22">
        <f>SUM(J53)</f>
        <v>350400000</v>
      </c>
      <c r="K54" s="171"/>
      <c r="L54" s="22"/>
      <c r="M54" s="33"/>
    </row>
    <row r="55" spans="1:13" ht="24" thickBot="1">
      <c r="A55" s="175"/>
      <c r="B55" s="37" t="s">
        <v>37</v>
      </c>
      <c r="C55" s="36"/>
      <c r="D55" s="36"/>
      <c r="E55" s="36"/>
      <c r="F55" s="36"/>
      <c r="G55" s="36"/>
      <c r="H55" s="36"/>
      <c r="I55" s="36"/>
      <c r="J55" s="37">
        <f>J54+J49+J42+J38+J30+J13</f>
        <v>13195562882</v>
      </c>
      <c r="K55" s="171"/>
      <c r="L55" s="37">
        <f>L51+L38+L30+L13</f>
        <v>2485000000</v>
      </c>
      <c r="M55" s="33"/>
    </row>
  </sheetData>
  <pageMargins left="0.7" right="0.7" top="0.75" bottom="0.75" header="0.3" footer="0.3"/>
  <pageSetup scale="68" orientation="portrait" r:id="rId1"/>
  <ignoredErrors>
    <ignoredError sqref="K13" formula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1" workbookViewId="0">
      <selection activeCell="F4" sqref="F4"/>
    </sheetView>
  </sheetViews>
  <sheetFormatPr defaultRowHeight="12.75"/>
  <cols>
    <col min="1" max="1" width="16.33203125" bestFit="1" customWidth="1"/>
    <col min="2" max="2" width="84.33203125" bestFit="1" customWidth="1"/>
    <col min="3" max="4" width="50.1640625" style="80" bestFit="1" customWidth="1"/>
  </cols>
  <sheetData>
    <row r="1" spans="1:4" ht="45" customHeight="1">
      <c r="A1" s="192" t="s">
        <v>598</v>
      </c>
      <c r="B1" s="192" t="s">
        <v>542</v>
      </c>
      <c r="C1" s="193" t="s">
        <v>599</v>
      </c>
      <c r="D1" s="193" t="s">
        <v>600</v>
      </c>
    </row>
    <row r="2" spans="1:4" ht="45" customHeight="1">
      <c r="A2" s="192">
        <v>1</v>
      </c>
      <c r="B2" s="192" t="s">
        <v>601</v>
      </c>
      <c r="C2" s="193">
        <v>639369240470</v>
      </c>
      <c r="D2" s="193">
        <f>C2</f>
        <v>639369240470</v>
      </c>
    </row>
    <row r="3" spans="1:4" ht="45" customHeight="1">
      <c r="A3" s="192">
        <v>2</v>
      </c>
      <c r="B3" s="192" t="s">
        <v>602</v>
      </c>
      <c r="C3" s="193">
        <v>52090032780</v>
      </c>
      <c r="D3" s="193">
        <f>C3</f>
        <v>52090032780</v>
      </c>
    </row>
    <row r="4" spans="1:4" ht="45" customHeight="1">
      <c r="A4" s="192">
        <v>3</v>
      </c>
      <c r="B4" s="192" t="s">
        <v>603</v>
      </c>
      <c r="C4" s="193">
        <v>39609088797</v>
      </c>
      <c r="D4" s="193">
        <f>C4</f>
        <v>39609088797</v>
      </c>
    </row>
    <row r="5" spans="1:4" ht="45" customHeight="1">
      <c r="A5" s="192"/>
      <c r="B5" s="194" t="s">
        <v>544</v>
      </c>
      <c r="C5" s="195">
        <f>SUM(C2:C4)</f>
        <v>731068362047</v>
      </c>
      <c r="D5" s="195">
        <f>SUM(D2:D4)</f>
        <v>731068362047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B1" zoomScale="60" workbookViewId="0">
      <selection activeCell="B1" sqref="B1:F1"/>
    </sheetView>
  </sheetViews>
  <sheetFormatPr defaultRowHeight="54.95" customHeight="1"/>
  <cols>
    <col min="1" max="1" width="14" style="58" bestFit="1" customWidth="1"/>
    <col min="2" max="2" width="46.1640625" style="58" bestFit="1" customWidth="1"/>
    <col min="3" max="3" width="34" style="78" bestFit="1" customWidth="1"/>
    <col min="4" max="4" width="14.1640625" style="58" bestFit="1" customWidth="1"/>
    <col min="5" max="5" width="66.1640625" style="58" bestFit="1" customWidth="1"/>
    <col min="6" max="6" width="39.6640625" style="58" bestFit="1" customWidth="1"/>
    <col min="7" max="16384" width="9.33203125" style="58"/>
  </cols>
  <sheetData>
    <row r="1" spans="1:6" ht="54.95" customHeight="1">
      <c r="A1" s="196"/>
      <c r="B1" s="1023"/>
      <c r="C1" s="1023"/>
      <c r="D1" s="1023"/>
      <c r="E1" s="1023"/>
      <c r="F1" s="1023"/>
    </row>
    <row r="2" spans="1:6" s="198" customFormat="1" ht="54.95" customHeight="1">
      <c r="A2" s="197"/>
      <c r="B2" s="1024" t="s">
        <v>612</v>
      </c>
      <c r="C2" s="1025"/>
      <c r="D2" s="1026" t="s">
        <v>613</v>
      </c>
      <c r="E2" s="1026"/>
      <c r="F2" s="1026"/>
    </row>
    <row r="3" spans="1:6" s="198" customFormat="1" ht="54.95" customHeight="1">
      <c r="A3" s="199" t="s">
        <v>25</v>
      </c>
      <c r="B3" s="199" t="s">
        <v>26</v>
      </c>
      <c r="C3" s="200" t="s">
        <v>614</v>
      </c>
      <c r="D3" s="199" t="s">
        <v>615</v>
      </c>
      <c r="E3" s="199" t="s">
        <v>26</v>
      </c>
      <c r="F3" s="199" t="s">
        <v>614</v>
      </c>
    </row>
    <row r="4" spans="1:6" ht="54.95" customHeight="1">
      <c r="A4" s="196" t="s">
        <v>616</v>
      </c>
      <c r="B4" s="196" t="s">
        <v>617</v>
      </c>
      <c r="C4" s="201">
        <v>469017194657</v>
      </c>
      <c r="D4" s="202" t="s">
        <v>25</v>
      </c>
      <c r="E4" s="202" t="s">
        <v>542</v>
      </c>
      <c r="F4" s="203" t="s">
        <v>543</v>
      </c>
    </row>
    <row r="5" spans="1:6" ht="54.95" customHeight="1">
      <c r="A5" s="196" t="s">
        <v>618</v>
      </c>
      <c r="B5" s="196" t="s">
        <v>619</v>
      </c>
      <c r="C5" s="201">
        <v>114323175932</v>
      </c>
      <c r="D5" s="204" t="s">
        <v>360</v>
      </c>
      <c r="E5" s="204" t="s">
        <v>27</v>
      </c>
      <c r="F5" s="205">
        <v>336396573273</v>
      </c>
    </row>
    <row r="6" spans="1:6" ht="54.95" customHeight="1">
      <c r="A6" s="196" t="s">
        <v>620</v>
      </c>
      <c r="B6" s="196" t="s">
        <v>621</v>
      </c>
      <c r="C6" s="206">
        <v>56028869881</v>
      </c>
      <c r="D6" s="204" t="s">
        <v>361</v>
      </c>
      <c r="E6" s="204" t="s">
        <v>538</v>
      </c>
      <c r="F6" s="205">
        <v>119592038192</v>
      </c>
    </row>
    <row r="7" spans="1:6" ht="54.95" customHeight="1">
      <c r="A7" s="196"/>
      <c r="B7" s="196"/>
      <c r="C7" s="201"/>
      <c r="D7" s="204" t="s">
        <v>362</v>
      </c>
      <c r="E7" s="204" t="s">
        <v>539</v>
      </c>
      <c r="F7" s="205">
        <v>91139875595</v>
      </c>
    </row>
    <row r="8" spans="1:6" ht="54.95" customHeight="1">
      <c r="A8" s="196"/>
      <c r="B8" s="196"/>
      <c r="C8" s="201"/>
      <c r="D8" s="204" t="s">
        <v>368</v>
      </c>
      <c r="E8" s="204" t="s">
        <v>540</v>
      </c>
      <c r="F8" s="205">
        <v>6141762733</v>
      </c>
    </row>
    <row r="9" spans="1:6" ht="54.95" customHeight="1">
      <c r="A9" s="196"/>
      <c r="B9" s="196"/>
      <c r="C9" s="201"/>
      <c r="D9" s="204" t="s">
        <v>366</v>
      </c>
      <c r="E9" s="204" t="s">
        <v>386</v>
      </c>
      <c r="F9" s="205">
        <v>26434411720</v>
      </c>
    </row>
    <row r="10" spans="1:6" ht="54.95" customHeight="1">
      <c r="A10" s="196"/>
      <c r="B10" s="196"/>
      <c r="C10" s="201"/>
      <c r="D10" s="204" t="s">
        <v>280</v>
      </c>
      <c r="E10" s="204" t="s">
        <v>261</v>
      </c>
      <c r="F10" s="205">
        <v>13787769860</v>
      </c>
    </row>
    <row r="11" spans="1:6" ht="54.95" customHeight="1">
      <c r="A11" s="196"/>
      <c r="B11" s="199"/>
      <c r="C11" s="200"/>
      <c r="D11" s="204" t="s">
        <v>425</v>
      </c>
      <c r="E11" s="204" t="s">
        <v>541</v>
      </c>
      <c r="F11" s="205">
        <v>5040712400</v>
      </c>
    </row>
    <row r="12" spans="1:6" ht="54.95" customHeight="1">
      <c r="A12" s="196"/>
      <c r="B12" s="196"/>
      <c r="C12" s="201"/>
      <c r="D12" s="204" t="s">
        <v>550</v>
      </c>
      <c r="E12" s="204" t="s">
        <v>551</v>
      </c>
      <c r="F12" s="205">
        <v>40836096697</v>
      </c>
    </row>
    <row r="13" spans="1:6" s="198" customFormat="1" ht="54.95" customHeight="1">
      <c r="A13" s="199"/>
      <c r="B13" s="199" t="s">
        <v>544</v>
      </c>
      <c r="C13" s="200">
        <f>SUM(C4:C12)</f>
        <v>639369240470</v>
      </c>
      <c r="D13" s="202"/>
      <c r="E13" s="202"/>
      <c r="F13" s="207">
        <f>SUM(F5:F12)</f>
        <v>639369240470</v>
      </c>
    </row>
  </sheetData>
  <mergeCells count="3">
    <mergeCell ref="B1:F1"/>
    <mergeCell ref="B2:C2"/>
    <mergeCell ref="D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CI34"/>
  <sheetViews>
    <sheetView view="pageBreakPreview" topLeftCell="A19" zoomScale="60" workbookViewId="0">
      <selection activeCell="O34" sqref="O34"/>
    </sheetView>
  </sheetViews>
  <sheetFormatPr defaultRowHeight="35.1" customHeight="1"/>
  <cols>
    <col min="1" max="1" width="17.5" style="489" customWidth="1"/>
    <col min="2" max="2" width="82.1640625" style="484" customWidth="1"/>
    <col min="3" max="3" width="22.33203125" style="484" hidden="1" customWidth="1"/>
    <col min="4" max="4" width="0.1640625" style="484" hidden="1" customWidth="1"/>
    <col min="5" max="5" width="29" style="484" hidden="1" customWidth="1"/>
    <col min="6" max="6" width="0.6640625" style="484" hidden="1" customWidth="1"/>
    <col min="7" max="8" width="25.5" style="484" hidden="1" customWidth="1"/>
    <col min="9" max="10" width="24.5" style="484" hidden="1" customWidth="1"/>
    <col min="11" max="11" width="0.1640625" style="484" hidden="1" customWidth="1"/>
    <col min="12" max="13" width="29.83203125" style="484" hidden="1" customWidth="1"/>
    <col min="14" max="16" width="29.83203125" style="484" customWidth="1"/>
    <col min="17" max="17" width="25.1640625" style="484" customWidth="1"/>
    <col min="18" max="16384" width="9.33203125" style="484"/>
  </cols>
  <sheetData>
    <row r="1" spans="1:87" s="481" customFormat="1" ht="35.1" customHeight="1">
      <c r="A1" s="476" t="s">
        <v>39</v>
      </c>
      <c r="B1" s="477" t="s">
        <v>1146</v>
      </c>
      <c r="C1" s="280"/>
      <c r="D1" s="280"/>
      <c r="E1" s="280"/>
      <c r="F1" s="280"/>
      <c r="G1" s="280"/>
      <c r="H1" s="280"/>
      <c r="I1" s="478"/>
      <c r="J1" s="292"/>
      <c r="K1" s="292"/>
      <c r="L1" s="292"/>
      <c r="M1" s="292"/>
      <c r="N1" s="292"/>
      <c r="O1" s="292"/>
      <c r="P1" s="292"/>
      <c r="Q1" s="479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</row>
    <row r="2" spans="1:87" ht="35.1" customHeight="1">
      <c r="A2" s="476" t="s">
        <v>25</v>
      </c>
      <c r="B2" s="303" t="s">
        <v>26</v>
      </c>
      <c r="C2" s="286" t="s">
        <v>55</v>
      </c>
      <c r="D2" s="286" t="s">
        <v>63</v>
      </c>
      <c r="E2" s="286" t="s">
        <v>103</v>
      </c>
      <c r="F2" s="286" t="s">
        <v>109</v>
      </c>
      <c r="G2" s="286" t="s">
        <v>138</v>
      </c>
      <c r="H2" s="286" t="s">
        <v>257</v>
      </c>
      <c r="I2" s="482" t="s">
        <v>440</v>
      </c>
      <c r="J2" s="482" t="s">
        <v>806</v>
      </c>
      <c r="K2" s="292"/>
      <c r="L2" s="482" t="s">
        <v>872</v>
      </c>
      <c r="M2" s="482" t="s">
        <v>972</v>
      </c>
      <c r="N2" s="482" t="s">
        <v>1159</v>
      </c>
      <c r="O2" s="482" t="s">
        <v>1319</v>
      </c>
      <c r="P2" s="482" t="s">
        <v>47</v>
      </c>
      <c r="Q2" s="483"/>
    </row>
    <row r="3" spans="1:87" ht="35.1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246"/>
      <c r="I3" s="292"/>
      <c r="J3" s="292"/>
      <c r="K3" s="292"/>
      <c r="L3" s="292"/>
      <c r="M3" s="292"/>
      <c r="N3" s="292"/>
      <c r="O3" s="292"/>
      <c r="P3" s="292"/>
      <c r="Q3" s="479"/>
    </row>
    <row r="4" spans="1:87" ht="35.1" customHeight="1">
      <c r="A4" s="476">
        <v>2110</v>
      </c>
      <c r="B4" s="280" t="s">
        <v>213</v>
      </c>
      <c r="C4" s="246">
        <v>0</v>
      </c>
      <c r="D4" s="274">
        <v>15624000</v>
      </c>
      <c r="E4" s="274">
        <f>20311200+3198000</f>
        <v>23509200</v>
      </c>
      <c r="F4" s="274">
        <v>23509200</v>
      </c>
      <c r="G4" s="274"/>
      <c r="H4" s="274"/>
      <c r="I4" s="274"/>
      <c r="J4" s="274"/>
      <c r="K4" s="292"/>
      <c r="L4" s="274"/>
      <c r="M4" s="274"/>
      <c r="N4" s="274"/>
      <c r="O4" s="274"/>
      <c r="P4" s="274"/>
      <c r="Q4" s="479"/>
    </row>
    <row r="5" spans="1:87" ht="35.1" customHeight="1">
      <c r="A5" s="392">
        <v>21101</v>
      </c>
      <c r="B5" s="246" t="s">
        <v>28</v>
      </c>
      <c r="C5" s="246">
        <v>0</v>
      </c>
      <c r="D5" s="485">
        <v>124320000</v>
      </c>
      <c r="E5" s="485">
        <v>124320000</v>
      </c>
      <c r="F5" s="485">
        <v>124320000</v>
      </c>
      <c r="G5" s="485">
        <v>23509200</v>
      </c>
      <c r="H5" s="485">
        <f>shaqaalaha2011!H4</f>
        <v>232252800</v>
      </c>
      <c r="I5" s="485">
        <v>185140800</v>
      </c>
      <c r="J5" s="485">
        <v>185140800</v>
      </c>
      <c r="K5" s="292"/>
      <c r="L5" s="485">
        <v>278703360</v>
      </c>
      <c r="M5" s="485">
        <v>319812480</v>
      </c>
      <c r="N5" s="485">
        <v>350925120</v>
      </c>
      <c r="O5" s="485">
        <v>404426880</v>
      </c>
      <c r="P5" s="485">
        <f>O5-N5</f>
        <v>53501760</v>
      </c>
      <c r="Q5" s="479"/>
    </row>
    <row r="6" spans="1:87" ht="35.1" customHeight="1">
      <c r="A6" s="392">
        <v>21102</v>
      </c>
      <c r="B6" s="246" t="s">
        <v>1163</v>
      </c>
      <c r="C6" s="246">
        <v>0</v>
      </c>
      <c r="D6" s="274">
        <v>6000000</v>
      </c>
      <c r="E6" s="274">
        <v>6000000</v>
      </c>
      <c r="F6" s="274">
        <v>6000000</v>
      </c>
      <c r="G6" s="274">
        <v>124320000</v>
      </c>
      <c r="H6" s="274">
        <v>124320000</v>
      </c>
      <c r="I6" s="274">
        <v>130320000</v>
      </c>
      <c r="J6" s="274">
        <v>126000000</v>
      </c>
      <c r="K6" s="292"/>
      <c r="L6" s="274">
        <v>276000000</v>
      </c>
      <c r="M6" s="274">
        <v>276000000</v>
      </c>
      <c r="N6" s="274">
        <v>276000000</v>
      </c>
      <c r="O6" s="274">
        <v>276000000</v>
      </c>
      <c r="P6" s="485">
        <f t="shared" ref="P6:P34" si="0">O6-N6</f>
        <v>0</v>
      </c>
      <c r="Q6" s="479"/>
    </row>
    <row r="7" spans="1:87" ht="35.1" customHeight="1">
      <c r="A7" s="392">
        <v>21103</v>
      </c>
      <c r="B7" s="246" t="s">
        <v>807</v>
      </c>
      <c r="C7" s="246">
        <v>0</v>
      </c>
      <c r="D7" s="249">
        <v>20800000</v>
      </c>
      <c r="E7" s="249">
        <v>15491840</v>
      </c>
      <c r="F7" s="249">
        <v>17500000</v>
      </c>
      <c r="G7" s="249">
        <v>6000000</v>
      </c>
      <c r="H7" s="249">
        <v>6000000</v>
      </c>
      <c r="I7" s="249">
        <v>66000000</v>
      </c>
      <c r="J7" s="249">
        <v>66000000</v>
      </c>
      <c r="K7" s="292"/>
      <c r="L7" s="249">
        <v>156000000</v>
      </c>
      <c r="M7" s="249">
        <v>156000000</v>
      </c>
      <c r="N7" s="249">
        <v>162000000</v>
      </c>
      <c r="O7" s="249">
        <v>162000000</v>
      </c>
      <c r="P7" s="485">
        <f t="shared" si="0"/>
        <v>0</v>
      </c>
      <c r="Q7" s="479"/>
    </row>
    <row r="8" spans="1:87" ht="35.1" customHeight="1">
      <c r="A8" s="476">
        <v>2120</v>
      </c>
      <c r="B8" s="280" t="s">
        <v>218</v>
      </c>
      <c r="C8" s="246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92"/>
      <c r="L8" s="249">
        <v>0</v>
      </c>
      <c r="M8" s="249">
        <v>0</v>
      </c>
      <c r="N8" s="249">
        <v>0</v>
      </c>
      <c r="O8" s="249">
        <v>0</v>
      </c>
      <c r="P8" s="485">
        <f t="shared" si="0"/>
        <v>0</v>
      </c>
      <c r="Q8" s="479"/>
    </row>
    <row r="9" spans="1:87" ht="35.1" customHeight="1">
      <c r="A9" s="392">
        <v>21203</v>
      </c>
      <c r="B9" s="246" t="s">
        <v>223</v>
      </c>
      <c r="C9" s="246">
        <v>0</v>
      </c>
      <c r="D9" s="249"/>
      <c r="E9" s="249"/>
      <c r="F9" s="249"/>
      <c r="G9" s="249">
        <v>0</v>
      </c>
      <c r="H9" s="249">
        <v>0</v>
      </c>
      <c r="I9" s="249">
        <v>0</v>
      </c>
      <c r="J9" s="249">
        <v>0</v>
      </c>
      <c r="K9" s="292"/>
      <c r="L9" s="249">
        <v>0</v>
      </c>
      <c r="M9" s="249">
        <v>0</v>
      </c>
      <c r="N9" s="249">
        <v>0</v>
      </c>
      <c r="O9" s="249">
        <v>0</v>
      </c>
      <c r="P9" s="485">
        <f t="shared" si="0"/>
        <v>0</v>
      </c>
      <c r="Q9" s="479"/>
    </row>
    <row r="10" spans="1:87" ht="35.1" customHeight="1">
      <c r="A10" s="392"/>
      <c r="B10" s="280" t="s">
        <v>92</v>
      </c>
      <c r="C10" s="246">
        <v>0</v>
      </c>
      <c r="D10" s="249">
        <v>0</v>
      </c>
      <c r="E10" s="249">
        <v>0</v>
      </c>
      <c r="F10" s="249">
        <v>0</v>
      </c>
      <c r="G10" s="285">
        <f>SUM(G5:G9)</f>
        <v>153829200</v>
      </c>
      <c r="H10" s="285">
        <f>SUM(H5:H9)</f>
        <v>362572800</v>
      </c>
      <c r="I10" s="285">
        <f>SUM(I5:I9)</f>
        <v>381460800</v>
      </c>
      <c r="J10" s="285">
        <f>SUM(J5:J9)</f>
        <v>377140800</v>
      </c>
      <c r="K10" s="292"/>
      <c r="L10" s="285">
        <f>SUM(L5:L9)</f>
        <v>710703360</v>
      </c>
      <c r="M10" s="285">
        <f>SUM(M5:M9)</f>
        <v>751812480</v>
      </c>
      <c r="N10" s="285">
        <f>SUM(N5:N9)</f>
        <v>788925120</v>
      </c>
      <c r="O10" s="285">
        <f>SUM(O5:O9)</f>
        <v>842426880</v>
      </c>
      <c r="P10" s="845">
        <f t="shared" si="0"/>
        <v>53501760</v>
      </c>
      <c r="Q10" s="479"/>
    </row>
    <row r="11" spans="1:87" ht="35.1" customHeight="1">
      <c r="A11" s="476">
        <v>220</v>
      </c>
      <c r="B11" s="280" t="s">
        <v>225</v>
      </c>
      <c r="C11" s="246">
        <v>0</v>
      </c>
      <c r="D11" s="249">
        <v>0</v>
      </c>
      <c r="E11" s="249">
        <v>0</v>
      </c>
      <c r="F11" s="249">
        <v>0</v>
      </c>
      <c r="G11" s="249"/>
      <c r="H11" s="249"/>
      <c r="I11" s="249"/>
      <c r="J11" s="249"/>
      <c r="K11" s="292"/>
      <c r="L11" s="249"/>
      <c r="M11" s="249"/>
      <c r="N11" s="249"/>
      <c r="O11" s="249"/>
      <c r="P11" s="485">
        <f t="shared" si="0"/>
        <v>0</v>
      </c>
      <c r="Q11" s="479"/>
    </row>
    <row r="12" spans="1:87" ht="35.1" customHeight="1">
      <c r="A12" s="476">
        <v>2210</v>
      </c>
      <c r="B12" s="280" t="s">
        <v>226</v>
      </c>
      <c r="C12" s="246">
        <v>0</v>
      </c>
      <c r="D12" s="249">
        <v>0</v>
      </c>
      <c r="E12" s="249">
        <v>0</v>
      </c>
      <c r="F12" s="249">
        <v>3000000</v>
      </c>
      <c r="G12" s="249"/>
      <c r="H12" s="249"/>
      <c r="I12" s="249"/>
      <c r="J12" s="249"/>
      <c r="K12" s="292"/>
      <c r="L12" s="249"/>
      <c r="M12" s="249"/>
      <c r="N12" s="249"/>
      <c r="O12" s="249"/>
      <c r="P12" s="485">
        <f t="shared" si="0"/>
        <v>0</v>
      </c>
      <c r="Q12" s="479"/>
    </row>
    <row r="13" spans="1:87" ht="35.1" customHeight="1">
      <c r="A13" s="392">
        <v>22101</v>
      </c>
      <c r="B13" s="246" t="s">
        <v>33</v>
      </c>
      <c r="C13" s="246"/>
      <c r="D13" s="249"/>
      <c r="E13" s="249"/>
      <c r="F13" s="249"/>
      <c r="G13" s="249">
        <v>0</v>
      </c>
      <c r="H13" s="249">
        <v>0</v>
      </c>
      <c r="I13" s="249">
        <v>0</v>
      </c>
      <c r="J13" s="249">
        <v>0</v>
      </c>
      <c r="K13" s="292"/>
      <c r="L13" s="249">
        <v>26000000</v>
      </c>
      <c r="M13" s="249">
        <v>26000000</v>
      </c>
      <c r="N13" s="249">
        <v>26000000</v>
      </c>
      <c r="O13" s="249">
        <v>26000000</v>
      </c>
      <c r="P13" s="485">
        <f t="shared" si="0"/>
        <v>0</v>
      </c>
      <c r="Q13" s="479"/>
    </row>
    <row r="14" spans="1:87" ht="35.1" customHeight="1">
      <c r="A14" s="392">
        <v>22104</v>
      </c>
      <c r="B14" s="246" t="s">
        <v>157</v>
      </c>
      <c r="C14" s="246">
        <v>0</v>
      </c>
      <c r="D14" s="249">
        <v>0</v>
      </c>
      <c r="E14" s="249">
        <v>0</v>
      </c>
      <c r="F14" s="249">
        <v>0</v>
      </c>
      <c r="G14" s="249">
        <v>30000000</v>
      </c>
      <c r="H14" s="249">
        <f>G14*70%</f>
        <v>21000000</v>
      </c>
      <c r="I14" s="249">
        <f>H14</f>
        <v>21000000</v>
      </c>
      <c r="J14" s="249">
        <f>I14</f>
        <v>21000000</v>
      </c>
      <c r="K14" s="292"/>
      <c r="L14" s="249">
        <v>50000000</v>
      </c>
      <c r="M14" s="249">
        <v>50000000</v>
      </c>
      <c r="N14" s="249">
        <v>50000000</v>
      </c>
      <c r="O14" s="249">
        <v>50000000</v>
      </c>
      <c r="P14" s="485">
        <f t="shared" si="0"/>
        <v>0</v>
      </c>
      <c r="Q14" s="479"/>
    </row>
    <row r="15" spans="1:87" ht="35.1" customHeight="1">
      <c r="A15" s="392">
        <v>22105</v>
      </c>
      <c r="B15" s="246" t="s">
        <v>135</v>
      </c>
      <c r="C15" s="246">
        <v>0</v>
      </c>
      <c r="D15" s="249">
        <v>18000000</v>
      </c>
      <c r="E15" s="249">
        <v>9682400</v>
      </c>
      <c r="F15" s="249">
        <v>9682400</v>
      </c>
      <c r="G15" s="249">
        <v>0</v>
      </c>
      <c r="H15" s="249">
        <v>0</v>
      </c>
      <c r="I15" s="249">
        <v>0</v>
      </c>
      <c r="J15" s="249">
        <v>0</v>
      </c>
      <c r="K15" s="292"/>
      <c r="L15" s="249">
        <v>0</v>
      </c>
      <c r="M15" s="249">
        <v>0</v>
      </c>
      <c r="N15" s="249">
        <v>0</v>
      </c>
      <c r="O15" s="249">
        <v>0</v>
      </c>
      <c r="P15" s="485">
        <f t="shared" si="0"/>
        <v>0</v>
      </c>
      <c r="Q15" s="479"/>
    </row>
    <row r="16" spans="1:87" ht="35.1" customHeight="1">
      <c r="A16" s="392">
        <v>22106</v>
      </c>
      <c r="B16" s="246" t="s">
        <v>126</v>
      </c>
      <c r="C16" s="246">
        <v>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92"/>
      <c r="L16" s="249">
        <v>0</v>
      </c>
      <c r="M16" s="249">
        <v>0</v>
      </c>
      <c r="N16" s="249">
        <v>0</v>
      </c>
      <c r="O16" s="249">
        <v>0</v>
      </c>
      <c r="P16" s="485">
        <f t="shared" si="0"/>
        <v>0</v>
      </c>
      <c r="Q16" s="479"/>
    </row>
    <row r="17" spans="1:17" ht="35.1" customHeight="1">
      <c r="A17" s="392">
        <v>22107</v>
      </c>
      <c r="B17" s="246" t="s">
        <v>48</v>
      </c>
      <c r="C17" s="246">
        <v>0</v>
      </c>
      <c r="D17" s="249">
        <v>0</v>
      </c>
      <c r="E17" s="249">
        <v>0</v>
      </c>
      <c r="F17" s="249">
        <v>0</v>
      </c>
      <c r="G17" s="249">
        <v>9682400</v>
      </c>
      <c r="H17" s="249">
        <v>6771680</v>
      </c>
      <c r="I17" s="249">
        <f>H17*70%</f>
        <v>4740176</v>
      </c>
      <c r="J17" s="249">
        <v>4740176</v>
      </c>
      <c r="K17" s="292"/>
      <c r="L17" s="249">
        <v>32500000</v>
      </c>
      <c r="M17" s="249">
        <v>32500000</v>
      </c>
      <c r="N17" s="249">
        <v>32500000</v>
      </c>
      <c r="O17" s="848">
        <v>76000000</v>
      </c>
      <c r="P17" s="485">
        <f t="shared" si="0"/>
        <v>43500000</v>
      </c>
      <c r="Q17" s="479"/>
    </row>
    <row r="18" spans="1:17" ht="35.1" customHeight="1">
      <c r="A18" s="392">
        <v>22108</v>
      </c>
      <c r="B18" s="246" t="s">
        <v>840</v>
      </c>
      <c r="C18" s="246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49">
        <v>0</v>
      </c>
      <c r="J18" s="249">
        <v>4320000</v>
      </c>
      <c r="K18" s="292"/>
      <c r="L18" s="249">
        <v>7200000</v>
      </c>
      <c r="M18" s="249">
        <v>7200000</v>
      </c>
      <c r="N18" s="249">
        <v>14400000</v>
      </c>
      <c r="O18" s="848">
        <v>19400000</v>
      </c>
      <c r="P18" s="485">
        <f t="shared" si="0"/>
        <v>5000000</v>
      </c>
      <c r="Q18" s="479"/>
    </row>
    <row r="19" spans="1:17" ht="35.1" customHeight="1">
      <c r="A19" s="392">
        <v>22109</v>
      </c>
      <c r="B19" s="246" t="s">
        <v>136</v>
      </c>
      <c r="C19" s="246">
        <v>0</v>
      </c>
      <c r="D19" s="249">
        <v>6000000</v>
      </c>
      <c r="E19" s="249">
        <v>4468800</v>
      </c>
      <c r="F19" s="249">
        <v>4468800</v>
      </c>
      <c r="G19" s="249">
        <v>4468800</v>
      </c>
      <c r="H19" s="249">
        <v>4468800</v>
      </c>
      <c r="I19" s="249">
        <v>4468800</v>
      </c>
      <c r="J19" s="249">
        <v>4468800</v>
      </c>
      <c r="K19" s="292"/>
      <c r="L19" s="249">
        <v>10000000</v>
      </c>
      <c r="M19" s="249">
        <v>34000000</v>
      </c>
      <c r="N19" s="249">
        <v>34000000</v>
      </c>
      <c r="O19" s="249">
        <v>34000000</v>
      </c>
      <c r="P19" s="485">
        <f t="shared" si="0"/>
        <v>0</v>
      </c>
      <c r="Q19" s="479"/>
    </row>
    <row r="20" spans="1:17" ht="35.1" customHeight="1">
      <c r="A20" s="392">
        <v>22112</v>
      </c>
      <c r="B20" s="246" t="s">
        <v>35</v>
      </c>
      <c r="C20" s="246">
        <v>0</v>
      </c>
      <c r="D20" s="249">
        <v>37516000</v>
      </c>
      <c r="E20" s="249">
        <v>22941917</v>
      </c>
      <c r="F20" s="249">
        <v>15000000</v>
      </c>
      <c r="G20" s="249">
        <v>14000000</v>
      </c>
      <c r="H20" s="249">
        <v>9800000</v>
      </c>
      <c r="I20" s="249">
        <v>9800000</v>
      </c>
      <c r="J20" s="249">
        <v>9800000</v>
      </c>
      <c r="K20" s="292"/>
      <c r="L20" s="249">
        <v>15000000</v>
      </c>
      <c r="M20" s="249">
        <v>15000000</v>
      </c>
      <c r="N20" s="249">
        <v>15000000</v>
      </c>
      <c r="O20" s="249">
        <v>15000000</v>
      </c>
      <c r="P20" s="485">
        <f t="shared" si="0"/>
        <v>0</v>
      </c>
      <c r="Q20" s="479"/>
    </row>
    <row r="21" spans="1:17" ht="35.1" customHeight="1">
      <c r="A21" s="392">
        <v>22125</v>
      </c>
      <c r="B21" s="246" t="s">
        <v>817</v>
      </c>
      <c r="C21" s="246">
        <v>0</v>
      </c>
      <c r="D21" s="249">
        <v>0</v>
      </c>
      <c r="E21" s="249">
        <v>0</v>
      </c>
      <c r="F21" s="249">
        <v>0</v>
      </c>
      <c r="G21" s="249">
        <v>22941916</v>
      </c>
      <c r="H21" s="249">
        <f>22941916+180000000*70%</f>
        <v>148941916</v>
      </c>
      <c r="I21" s="249">
        <v>0</v>
      </c>
      <c r="J21" s="249">
        <v>148941916</v>
      </c>
      <c r="K21" s="292"/>
      <c r="L21" s="249">
        <v>297883832</v>
      </c>
      <c r="M21" s="249">
        <v>297883832</v>
      </c>
      <c r="N21" s="249">
        <v>448000000</v>
      </c>
      <c r="O21" s="249">
        <v>448000000</v>
      </c>
      <c r="P21" s="485">
        <f t="shared" si="0"/>
        <v>0</v>
      </c>
      <c r="Q21" s="479"/>
    </row>
    <row r="22" spans="1:17" ht="35.1" customHeight="1">
      <c r="A22" s="392"/>
      <c r="B22" s="280" t="s">
        <v>92</v>
      </c>
      <c r="C22" s="246">
        <v>0</v>
      </c>
      <c r="D22" s="249">
        <v>0</v>
      </c>
      <c r="E22" s="249">
        <v>0</v>
      </c>
      <c r="F22" s="249">
        <v>0</v>
      </c>
      <c r="G22" s="285">
        <f>SUM(G13:G21)</f>
        <v>81093116</v>
      </c>
      <c r="H22" s="285">
        <f>SUM(H13:H21)</f>
        <v>190982396</v>
      </c>
      <c r="I22" s="285">
        <f>SUM(I13:I21)</f>
        <v>40008976</v>
      </c>
      <c r="J22" s="285">
        <f>SUM(J13:J21)</f>
        <v>193270892</v>
      </c>
      <c r="K22" s="292"/>
      <c r="L22" s="285">
        <f>SUM(L13:L21)</f>
        <v>438583832</v>
      </c>
      <c r="M22" s="285">
        <f>SUM(M13:M21)</f>
        <v>462583832</v>
      </c>
      <c r="N22" s="285">
        <f>SUM(N13:N21)</f>
        <v>619900000</v>
      </c>
      <c r="O22" s="285">
        <f>SUM(O13:O21)</f>
        <v>668400000</v>
      </c>
      <c r="P22" s="845">
        <f t="shared" si="0"/>
        <v>48500000</v>
      </c>
      <c r="Q22" s="479"/>
    </row>
    <row r="23" spans="1:17" ht="35.1" customHeight="1">
      <c r="A23" s="476">
        <v>2220</v>
      </c>
      <c r="B23" s="280" t="s">
        <v>240</v>
      </c>
      <c r="C23" s="246">
        <v>0</v>
      </c>
      <c r="D23" s="249">
        <v>0</v>
      </c>
      <c r="E23" s="249">
        <v>0</v>
      </c>
      <c r="F23" s="249">
        <v>0</v>
      </c>
      <c r="G23" s="249"/>
      <c r="H23" s="249"/>
      <c r="I23" s="249"/>
      <c r="J23" s="249"/>
      <c r="K23" s="292"/>
      <c r="L23" s="249"/>
      <c r="M23" s="249"/>
      <c r="N23" s="249"/>
      <c r="O23" s="249"/>
      <c r="P23" s="485">
        <f t="shared" si="0"/>
        <v>0</v>
      </c>
      <c r="Q23" s="479"/>
    </row>
    <row r="24" spans="1:17" ht="35.1" customHeight="1">
      <c r="A24" s="392">
        <v>22201</v>
      </c>
      <c r="B24" s="246" t="s">
        <v>132</v>
      </c>
      <c r="C24" s="280">
        <v>0</v>
      </c>
      <c r="D24" s="285">
        <f>SUM(D14:D23)</f>
        <v>61516000</v>
      </c>
      <c r="E24" s="285">
        <f>SUM(E14:E23)</f>
        <v>37093117</v>
      </c>
      <c r="F24" s="285">
        <f>SUM(F14:F23)</f>
        <v>29151200</v>
      </c>
      <c r="G24" s="249">
        <v>0</v>
      </c>
      <c r="H24" s="249">
        <v>0</v>
      </c>
      <c r="I24" s="249">
        <v>0</v>
      </c>
      <c r="J24" s="249">
        <v>0</v>
      </c>
      <c r="K24" s="292"/>
      <c r="L24" s="249">
        <v>0</v>
      </c>
      <c r="M24" s="249">
        <v>0</v>
      </c>
      <c r="N24" s="249">
        <v>0</v>
      </c>
      <c r="O24" s="249">
        <v>0</v>
      </c>
      <c r="P24" s="485">
        <f t="shared" si="0"/>
        <v>0</v>
      </c>
      <c r="Q24" s="479"/>
    </row>
    <row r="25" spans="1:17" ht="35.1" customHeight="1">
      <c r="A25" s="392">
        <v>22202</v>
      </c>
      <c r="B25" s="246" t="s">
        <v>133</v>
      </c>
      <c r="C25" s="280">
        <v>0</v>
      </c>
      <c r="D25" s="285" t="e">
        <f>D24+#REF!+#REF!+#REF!</f>
        <v>#REF!</v>
      </c>
      <c r="E25" s="285" t="e">
        <f>E24+#REF!+#REF!+#REF!+#REF!</f>
        <v>#REF!</v>
      </c>
      <c r="F25" s="285" t="e">
        <f>F24+#REF!+#REF!+#REF!+#REF!</f>
        <v>#REF!</v>
      </c>
      <c r="G25" s="249">
        <v>95000000</v>
      </c>
      <c r="H25" s="249">
        <f>95000000*70%</f>
        <v>66499999.999999993</v>
      </c>
      <c r="I25" s="249">
        <f>H25</f>
        <v>66499999.999999993</v>
      </c>
      <c r="J25" s="249">
        <f>I25</f>
        <v>66499999.999999993</v>
      </c>
      <c r="K25" s="292"/>
      <c r="L25" s="249">
        <v>133000000</v>
      </c>
      <c r="M25" s="486">
        <v>200000000</v>
      </c>
      <c r="N25" s="486">
        <v>200000000</v>
      </c>
      <c r="O25" s="486">
        <v>200000000</v>
      </c>
      <c r="P25" s="485">
        <f t="shared" si="0"/>
        <v>0</v>
      </c>
      <c r="Q25" s="479"/>
    </row>
    <row r="26" spans="1:17" ht="35.1" customHeight="1">
      <c r="A26" s="392">
        <v>22203</v>
      </c>
      <c r="B26" s="246" t="s">
        <v>127</v>
      </c>
      <c r="C26" s="292"/>
      <c r="D26" s="292"/>
      <c r="E26" s="292"/>
      <c r="F26" s="292"/>
      <c r="G26" s="274">
        <v>15491840</v>
      </c>
      <c r="H26" s="274">
        <f>15491840*70%</f>
        <v>10844288</v>
      </c>
      <c r="I26" s="274">
        <f>15491840*70%</f>
        <v>10844288</v>
      </c>
      <c r="J26" s="274">
        <f>15491840*70%</f>
        <v>10844288</v>
      </c>
      <c r="K26" s="292"/>
      <c r="L26" s="274">
        <v>16000000</v>
      </c>
      <c r="M26" s="274">
        <v>40000000</v>
      </c>
      <c r="N26" s="274">
        <v>42247860</v>
      </c>
      <c r="O26" s="274">
        <v>42247860</v>
      </c>
      <c r="P26" s="485">
        <f t="shared" si="0"/>
        <v>0</v>
      </c>
      <c r="Q26" s="479"/>
    </row>
    <row r="27" spans="1:17" ht="35.1" customHeight="1">
      <c r="A27" s="392">
        <v>22204</v>
      </c>
      <c r="B27" s="246" t="s">
        <v>128</v>
      </c>
      <c r="C27" s="292"/>
      <c r="D27" s="292"/>
      <c r="E27" s="292"/>
      <c r="F27" s="292"/>
      <c r="G27" s="246">
        <v>11074486</v>
      </c>
      <c r="H27" s="246">
        <f>11074486*70%</f>
        <v>7752140.1999999993</v>
      </c>
      <c r="I27" s="246">
        <f>11074486*70%</f>
        <v>7752140.1999999993</v>
      </c>
      <c r="J27" s="246">
        <f>11074486*70%</f>
        <v>7752140.1999999993</v>
      </c>
      <c r="K27" s="292"/>
      <c r="L27" s="246">
        <f>11074486*70%</f>
        <v>7752140.1999999993</v>
      </c>
      <c r="M27" s="246">
        <f>11074486*70%</f>
        <v>7752140.1999999993</v>
      </c>
      <c r="N27" s="246">
        <f>11074486*70%</f>
        <v>7752140.1999999993</v>
      </c>
      <c r="O27" s="246">
        <f>11074486*70%</f>
        <v>7752140.1999999993</v>
      </c>
      <c r="P27" s="485">
        <f t="shared" si="0"/>
        <v>0</v>
      </c>
      <c r="Q27" s="479"/>
    </row>
    <row r="28" spans="1:17" ht="35.1" customHeight="1">
      <c r="A28" s="392"/>
      <c r="B28" s="280" t="s">
        <v>92</v>
      </c>
      <c r="C28" s="292"/>
      <c r="D28" s="292"/>
      <c r="E28" s="292"/>
      <c r="F28" s="292"/>
      <c r="G28" s="285">
        <v>121566326</v>
      </c>
      <c r="H28" s="285">
        <f>SUM(H24:H27)</f>
        <v>85096428.200000003</v>
      </c>
      <c r="I28" s="285">
        <f>SUM(I24:I27)</f>
        <v>85096428.200000003</v>
      </c>
      <c r="J28" s="285">
        <f>SUM(J24:J27)</f>
        <v>85096428.200000003</v>
      </c>
      <c r="K28" s="292"/>
      <c r="L28" s="285">
        <f>SUM(L24:L27)</f>
        <v>156752140.19999999</v>
      </c>
      <c r="M28" s="285">
        <f>SUM(M24:M27)</f>
        <v>247752140.19999999</v>
      </c>
      <c r="N28" s="285">
        <f>SUM(N24:N27)</f>
        <v>250000000.19999999</v>
      </c>
      <c r="O28" s="285">
        <f>SUM(O24:O27)</f>
        <v>250000000.19999999</v>
      </c>
      <c r="P28" s="485">
        <f t="shared" si="0"/>
        <v>0</v>
      </c>
      <c r="Q28" s="479"/>
    </row>
    <row r="29" spans="1:17" ht="35.1" customHeight="1">
      <c r="A29" s="476">
        <v>2230</v>
      </c>
      <c r="B29" s="280" t="s">
        <v>130</v>
      </c>
      <c r="C29" s="292"/>
      <c r="D29" s="292"/>
      <c r="E29" s="292"/>
      <c r="F29" s="292"/>
      <c r="G29" s="291"/>
      <c r="H29" s="291"/>
      <c r="I29" s="291"/>
      <c r="J29" s="291"/>
      <c r="K29" s="292"/>
      <c r="L29" s="291"/>
      <c r="M29" s="291"/>
      <c r="N29" s="291"/>
      <c r="O29" s="291"/>
      <c r="P29" s="485">
        <f t="shared" si="0"/>
        <v>0</v>
      </c>
      <c r="Q29" s="479"/>
    </row>
    <row r="30" spans="1:17" ht="35.1" customHeight="1">
      <c r="A30" s="392">
        <v>22301</v>
      </c>
      <c r="B30" s="246" t="s">
        <v>49</v>
      </c>
      <c r="C30" s="292"/>
      <c r="D30" s="292"/>
      <c r="E30" s="292"/>
      <c r="F30" s="292"/>
      <c r="G30" s="290">
        <v>20000000</v>
      </c>
      <c r="H30" s="290">
        <f>20000000*70%</f>
        <v>14000000</v>
      </c>
      <c r="I30" s="290">
        <f>20000000*70%</f>
        <v>14000000</v>
      </c>
      <c r="J30" s="290">
        <f>20000000*70%</f>
        <v>14000000</v>
      </c>
      <c r="K30" s="292"/>
      <c r="L30" s="290">
        <v>21000000</v>
      </c>
      <c r="M30" s="290">
        <v>45000000</v>
      </c>
      <c r="N30" s="290">
        <v>60000000</v>
      </c>
      <c r="O30" s="290">
        <v>60000000</v>
      </c>
      <c r="P30" s="485">
        <f t="shared" si="0"/>
        <v>0</v>
      </c>
      <c r="Q30" s="479"/>
    </row>
    <row r="31" spans="1:17" ht="35.1" customHeight="1">
      <c r="A31" s="392">
        <v>22302</v>
      </c>
      <c r="B31" s="246" t="s">
        <v>249</v>
      </c>
      <c r="C31" s="292"/>
      <c r="D31" s="292"/>
      <c r="E31" s="292"/>
      <c r="F31" s="292"/>
      <c r="G31" s="292">
        <v>0</v>
      </c>
      <c r="H31" s="292">
        <v>0</v>
      </c>
      <c r="I31" s="293">
        <v>0</v>
      </c>
      <c r="J31" s="293">
        <v>0</v>
      </c>
      <c r="K31" s="292"/>
      <c r="L31" s="293">
        <v>0</v>
      </c>
      <c r="M31" s="293">
        <v>0</v>
      </c>
      <c r="N31" s="293">
        <v>0</v>
      </c>
      <c r="O31" s="293">
        <v>0</v>
      </c>
      <c r="P31" s="485">
        <f t="shared" si="0"/>
        <v>0</v>
      </c>
      <c r="Q31" s="479"/>
    </row>
    <row r="32" spans="1:17" ht="35.1" customHeight="1">
      <c r="A32" s="392">
        <v>22313</v>
      </c>
      <c r="B32" s="246" t="s">
        <v>251</v>
      </c>
      <c r="C32" s="292"/>
      <c r="D32" s="292"/>
      <c r="E32" s="292"/>
      <c r="F32" s="292"/>
      <c r="G32" s="292">
        <v>0</v>
      </c>
      <c r="H32" s="292">
        <v>0</v>
      </c>
      <c r="I32" s="293">
        <v>0</v>
      </c>
      <c r="J32" s="293">
        <v>0</v>
      </c>
      <c r="K32" s="292"/>
      <c r="L32" s="293">
        <v>0</v>
      </c>
      <c r="M32" s="293">
        <v>0</v>
      </c>
      <c r="N32" s="293">
        <v>0</v>
      </c>
      <c r="O32" s="293">
        <v>0</v>
      </c>
      <c r="P32" s="485">
        <f t="shared" si="0"/>
        <v>0</v>
      </c>
      <c r="Q32" s="479"/>
    </row>
    <row r="33" spans="1:17" ht="35.1" customHeight="1">
      <c r="A33" s="392"/>
      <c r="B33" s="280" t="s">
        <v>92</v>
      </c>
      <c r="C33" s="292"/>
      <c r="D33" s="292"/>
      <c r="E33" s="292"/>
      <c r="F33" s="292"/>
      <c r="G33" s="291">
        <v>20000000</v>
      </c>
      <c r="H33" s="291">
        <f>SUM(H30:H32)</f>
        <v>14000000</v>
      </c>
      <c r="I33" s="291">
        <f>SUM(I30:I32)</f>
        <v>14000000</v>
      </c>
      <c r="J33" s="291">
        <f>SUM(J30:J32)</f>
        <v>14000000</v>
      </c>
      <c r="K33" s="292"/>
      <c r="L33" s="291">
        <f>SUM(L30:L32)</f>
        <v>21000000</v>
      </c>
      <c r="M33" s="291">
        <f>SUM(M30:M32)</f>
        <v>45000000</v>
      </c>
      <c r="N33" s="291">
        <f>SUM(N30:N32)</f>
        <v>60000000</v>
      </c>
      <c r="O33" s="291">
        <f>SUM(O30:O32)</f>
        <v>60000000</v>
      </c>
      <c r="P33" s="485">
        <f t="shared" si="0"/>
        <v>0</v>
      </c>
      <c r="Q33" s="479"/>
    </row>
    <row r="34" spans="1:17" ht="35.1" customHeight="1">
      <c r="A34" s="487"/>
      <c r="B34" s="280" t="s">
        <v>37</v>
      </c>
      <c r="C34" s="292"/>
      <c r="D34" s="292"/>
      <c r="E34" s="292"/>
      <c r="F34" s="292"/>
      <c r="G34" s="291">
        <v>379488642</v>
      </c>
      <c r="H34" s="291" t="e">
        <f>#REF!+H33+H28+H22+H10</f>
        <v>#REF!</v>
      </c>
      <c r="I34" s="291" t="e">
        <f>#REF!+I33+I28+I22+I10</f>
        <v>#REF!</v>
      </c>
      <c r="J34" s="291" t="e">
        <f>#REF!+J33+J28+J22+J10</f>
        <v>#REF!</v>
      </c>
      <c r="K34" s="292"/>
      <c r="L34" s="291" t="e">
        <f>#REF!+L33+L28+L22+L10</f>
        <v>#REF!</v>
      </c>
      <c r="M34" s="291">
        <f>M33+M28+M22+M10</f>
        <v>1507148452.2</v>
      </c>
      <c r="N34" s="291">
        <f>N33+N28+N22+N10</f>
        <v>1718825120.2</v>
      </c>
      <c r="O34" s="291">
        <f>O33+O28+O22+O10</f>
        <v>1820826880.2</v>
      </c>
      <c r="P34" s="845">
        <f t="shared" si="0"/>
        <v>102001760</v>
      </c>
      <c r="Q34" s="488"/>
    </row>
  </sheetData>
  <phoneticPr fontId="0" type="noConversion"/>
  <pageMargins left="0.67" right="0.3" top="0.62" bottom="0.22" header="0.22" footer="0.54"/>
  <pageSetup scale="55" orientation="portrait" r:id="rId1"/>
  <headerFooter alignWithMargins="0">
    <oddHeader>&amp;C&amp;"Algerian,Bold"&amp;28Commission-ka Qaranka ee la Dagaalanka HIV-Aides.</oddHeader>
    <oddFooter>&amp;R..&amp;"Times New Roman,Bold"&amp;20 2</oddFooter>
  </headerFooter>
  <ignoredErrors>
    <ignoredError sqref="E25" formula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topLeftCell="I1" zoomScale="60" workbookViewId="0">
      <selection activeCell="C18" sqref="C18"/>
    </sheetView>
  </sheetViews>
  <sheetFormatPr defaultRowHeight="12.75"/>
  <cols>
    <col min="1" max="1" width="22" style="14" customWidth="1"/>
    <col min="2" max="2" width="21" style="14" customWidth="1"/>
    <col min="3" max="3" width="28.6640625" style="14" bestFit="1" customWidth="1"/>
    <col min="4" max="6" width="24.83203125" style="14" bestFit="1" customWidth="1"/>
    <col min="7" max="8" width="26.83203125" style="14" bestFit="1" customWidth="1"/>
    <col min="9" max="9" width="22.1640625" style="14" bestFit="1" customWidth="1"/>
    <col min="10" max="10" width="24.83203125" style="14" bestFit="1" customWidth="1"/>
    <col min="11" max="11" width="22.1640625" style="14" bestFit="1" customWidth="1"/>
    <col min="12" max="12" width="24.83203125" style="14" bestFit="1" customWidth="1"/>
    <col min="13" max="14" width="22.1640625" style="14" bestFit="1" customWidth="1"/>
    <col min="15" max="15" width="20.1640625" style="14" bestFit="1" customWidth="1"/>
    <col min="16" max="18" width="22.1640625" style="14" bestFit="1" customWidth="1"/>
    <col min="19" max="19" width="28.6640625" style="14" bestFit="1" customWidth="1"/>
    <col min="20" max="16384" width="9.33203125" style="14"/>
  </cols>
  <sheetData>
    <row r="1" spans="1:19" ht="19.5">
      <c r="A1" s="226" t="s">
        <v>622</v>
      </c>
      <c r="B1" s="226" t="s">
        <v>623</v>
      </c>
      <c r="C1" s="227" t="s">
        <v>624</v>
      </c>
      <c r="D1" s="227" t="s">
        <v>625</v>
      </c>
      <c r="E1" s="227" t="s">
        <v>626</v>
      </c>
      <c r="F1" s="227" t="s">
        <v>627</v>
      </c>
      <c r="G1" s="227" t="s">
        <v>628</v>
      </c>
      <c r="H1" s="227" t="s">
        <v>629</v>
      </c>
      <c r="I1" s="227" t="s">
        <v>630</v>
      </c>
      <c r="J1" s="227" t="s">
        <v>631</v>
      </c>
      <c r="K1" s="227" t="s">
        <v>632</v>
      </c>
      <c r="L1" s="227" t="s">
        <v>633</v>
      </c>
      <c r="M1" s="227" t="s">
        <v>634</v>
      </c>
      <c r="N1" s="227" t="s">
        <v>635</v>
      </c>
      <c r="O1" s="227" t="s">
        <v>636</v>
      </c>
      <c r="P1" s="227" t="s">
        <v>637</v>
      </c>
      <c r="Q1" s="227" t="s">
        <v>638</v>
      </c>
      <c r="R1" s="227" t="s">
        <v>639</v>
      </c>
      <c r="S1" s="228" t="s">
        <v>640</v>
      </c>
    </row>
    <row r="2" spans="1:19" ht="15.75">
      <c r="A2" s="229" t="s">
        <v>641</v>
      </c>
      <c r="B2" s="230">
        <v>78190371390</v>
      </c>
      <c r="C2" s="225">
        <v>10357188248</v>
      </c>
      <c r="D2" s="231">
        <v>3374154060</v>
      </c>
      <c r="E2" s="225">
        <v>2421899258</v>
      </c>
      <c r="F2" s="225">
        <v>581801950</v>
      </c>
      <c r="G2" s="225">
        <v>1223505525</v>
      </c>
      <c r="H2" s="225">
        <v>142975478</v>
      </c>
      <c r="I2" s="225">
        <v>91785653</v>
      </c>
      <c r="J2" s="225">
        <v>328555688</v>
      </c>
      <c r="K2" s="225">
        <v>0</v>
      </c>
      <c r="L2" s="225">
        <v>0</v>
      </c>
      <c r="M2" s="225">
        <v>0</v>
      </c>
      <c r="N2" s="225">
        <v>0</v>
      </c>
      <c r="O2" s="225">
        <v>0</v>
      </c>
      <c r="P2" s="225">
        <v>0</v>
      </c>
      <c r="Q2" s="225">
        <v>0</v>
      </c>
      <c r="R2" s="225">
        <v>0</v>
      </c>
      <c r="S2" s="231">
        <v>96712237250</v>
      </c>
    </row>
    <row r="3" spans="1:19" ht="15.75">
      <c r="A3" s="229" t="s">
        <v>642</v>
      </c>
      <c r="B3" s="225">
        <v>9700658903.5226002</v>
      </c>
      <c r="C3" s="225">
        <v>286077243999</v>
      </c>
      <c r="D3" s="231">
        <v>1348104492.2132738</v>
      </c>
      <c r="E3" s="225">
        <v>3751607198.8849378</v>
      </c>
      <c r="F3" s="225">
        <v>499961091.43486261</v>
      </c>
      <c r="G3" s="232">
        <v>75766632276</v>
      </c>
      <c r="H3" s="225">
        <v>14415337209.061268</v>
      </c>
      <c r="I3" s="225">
        <v>638855453.06072521</v>
      </c>
      <c r="J3" s="225">
        <v>2509709557.4153676</v>
      </c>
      <c r="K3" s="225">
        <v>367427265.43461752</v>
      </c>
      <c r="L3" s="225">
        <v>1054354629.0572504</v>
      </c>
      <c r="M3" s="225">
        <v>364783829.34786057</v>
      </c>
      <c r="N3" s="225">
        <v>387026062.40826929</v>
      </c>
      <c r="O3" s="225">
        <v>50171678.383098096</v>
      </c>
      <c r="P3" s="225">
        <v>131458416.03757706</v>
      </c>
      <c r="Q3" s="225">
        <v>141251678.23313022</v>
      </c>
      <c r="R3" s="225">
        <v>132997251.10893458</v>
      </c>
      <c r="S3" s="231">
        <v>397337580990.60376</v>
      </c>
    </row>
    <row r="4" spans="1:19" ht="15.75">
      <c r="A4" s="229" t="s">
        <v>643</v>
      </c>
      <c r="B4" s="230">
        <v>87891030293.522598</v>
      </c>
      <c r="C4" s="230">
        <v>296434432247</v>
      </c>
      <c r="D4" s="230">
        <v>4722258552.213274</v>
      </c>
      <c r="E4" s="230">
        <v>6173506456.8849373</v>
      </c>
      <c r="F4" s="230">
        <v>1081763041.4348626</v>
      </c>
      <c r="G4" s="230">
        <v>76990137801</v>
      </c>
      <c r="H4" s="230">
        <v>14558312687.061268</v>
      </c>
      <c r="I4" s="230">
        <v>730641106.06072521</v>
      </c>
      <c r="J4" s="230">
        <v>2838265245.4153676</v>
      </c>
      <c r="K4" s="230">
        <v>367427265.43461752</v>
      </c>
      <c r="L4" s="230">
        <v>1054354629.0572504</v>
      </c>
      <c r="M4" s="230">
        <v>364783829.34786057</v>
      </c>
      <c r="N4" s="230">
        <v>387026062.40826929</v>
      </c>
      <c r="O4" s="230">
        <v>50171678.383098096</v>
      </c>
      <c r="P4" s="230">
        <v>131458416.03757706</v>
      </c>
      <c r="Q4" s="230">
        <v>141251678.23313022</v>
      </c>
      <c r="R4" s="230">
        <v>132997251.10893458</v>
      </c>
      <c r="S4" s="230">
        <v>494049818240.60376</v>
      </c>
    </row>
    <row r="5" spans="1:19" ht="15.75">
      <c r="A5" s="229" t="s">
        <v>644</v>
      </c>
      <c r="B5" s="225">
        <v>4908136260</v>
      </c>
      <c r="C5" s="225">
        <v>0</v>
      </c>
      <c r="D5" s="231">
        <v>0</v>
      </c>
      <c r="E5" s="225">
        <v>0</v>
      </c>
      <c r="F5" s="225">
        <v>0</v>
      </c>
      <c r="G5" s="225">
        <v>0</v>
      </c>
      <c r="H5" s="225">
        <v>0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  <c r="Q5" s="225">
        <v>0</v>
      </c>
      <c r="R5" s="225">
        <v>0</v>
      </c>
      <c r="S5" s="231">
        <v>4908136260</v>
      </c>
    </row>
    <row r="6" spans="1:19" ht="15.75">
      <c r="A6" s="229" t="s">
        <v>645</v>
      </c>
      <c r="B6" s="225">
        <v>6385980000</v>
      </c>
      <c r="C6" s="225">
        <v>0</v>
      </c>
      <c r="D6" s="231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31">
        <v>6385980000</v>
      </c>
    </row>
    <row r="7" spans="1:19" ht="15.75">
      <c r="A7" s="229" t="s">
        <v>646</v>
      </c>
      <c r="B7" s="225">
        <v>1200000000</v>
      </c>
      <c r="C7" s="225">
        <v>0</v>
      </c>
      <c r="D7" s="231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31">
        <v>1200000000</v>
      </c>
    </row>
    <row r="8" spans="1:19" ht="15.75">
      <c r="A8" s="229" t="s">
        <v>647</v>
      </c>
      <c r="B8" s="225">
        <v>3103200000</v>
      </c>
      <c r="C8" s="225">
        <v>0</v>
      </c>
      <c r="D8" s="231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31">
        <v>3103200000</v>
      </c>
    </row>
    <row r="9" spans="1:19" ht="15.75">
      <c r="A9" s="229" t="s">
        <v>648</v>
      </c>
      <c r="B9" s="225">
        <v>3506538010</v>
      </c>
      <c r="C9" s="225">
        <v>0</v>
      </c>
      <c r="D9" s="231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31">
        <v>3506538010</v>
      </c>
    </row>
    <row r="10" spans="1:19" ht="15.75">
      <c r="A10" s="229" t="s">
        <v>649</v>
      </c>
      <c r="B10" s="225">
        <v>4000000000</v>
      </c>
      <c r="C10" s="225">
        <v>0</v>
      </c>
      <c r="D10" s="231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31">
        <v>4000000000</v>
      </c>
    </row>
    <row r="11" spans="1:19" ht="15.75">
      <c r="A11" s="229" t="s">
        <v>650</v>
      </c>
      <c r="B11" s="225">
        <v>0</v>
      </c>
      <c r="C11" s="225">
        <v>3500000000</v>
      </c>
      <c r="D11" s="231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31">
        <v>3500000000</v>
      </c>
    </row>
    <row r="12" spans="1:19" ht="15.75">
      <c r="A12" s="229" t="s">
        <v>651</v>
      </c>
      <c r="B12" s="225">
        <v>612392026</v>
      </c>
      <c r="C12" s="225">
        <v>0</v>
      </c>
      <c r="D12" s="231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31">
        <v>612392026</v>
      </c>
    </row>
    <row r="13" spans="1:19" ht="15.75">
      <c r="A13" s="229" t="s">
        <v>652</v>
      </c>
      <c r="B13" s="225">
        <v>0</v>
      </c>
      <c r="C13" s="225">
        <v>3780000000</v>
      </c>
      <c r="D13" s="231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/>
      <c r="S13" s="231">
        <v>3780000000</v>
      </c>
    </row>
    <row r="14" spans="1:19" ht="15.75">
      <c r="A14" s="229" t="s">
        <v>653</v>
      </c>
      <c r="B14" s="225">
        <v>23716246296</v>
      </c>
      <c r="C14" s="225">
        <v>7280000000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30996246296</v>
      </c>
    </row>
    <row r="15" spans="1:19" ht="15.75">
      <c r="A15" s="229" t="s">
        <v>779</v>
      </c>
      <c r="B15" s="225">
        <v>40836096697</v>
      </c>
      <c r="C15" s="225"/>
      <c r="D15" s="231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31">
        <v>40836096697</v>
      </c>
    </row>
    <row r="16" spans="1:19" ht="15.75">
      <c r="A16" s="229" t="s">
        <v>654</v>
      </c>
      <c r="B16" s="225">
        <v>15622739863</v>
      </c>
      <c r="C16" s="225">
        <v>0</v>
      </c>
      <c r="D16" s="231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/>
      <c r="S16" s="231">
        <v>15622739863</v>
      </c>
    </row>
    <row r="17" spans="1:19" ht="15.75">
      <c r="A17" s="229" t="s">
        <v>655</v>
      </c>
      <c r="B17" s="225">
        <v>57864339373</v>
      </c>
      <c r="C17" s="225">
        <v>0</v>
      </c>
      <c r="D17" s="231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31">
        <v>57864339373</v>
      </c>
    </row>
    <row r="18" spans="1:19" ht="15.75">
      <c r="A18" s="229" t="s">
        <v>656</v>
      </c>
      <c r="B18" s="225">
        <v>0</v>
      </c>
      <c r="C18" s="225">
        <v>0</v>
      </c>
      <c r="D18" s="231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31">
        <v>0</v>
      </c>
    </row>
    <row r="19" spans="1:19" ht="15.75">
      <c r="A19" s="229" t="s">
        <v>657</v>
      </c>
      <c r="B19" s="225">
        <v>114323175933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114323175933</v>
      </c>
    </row>
    <row r="20" spans="1:19" s="236" customFormat="1" ht="14.25">
      <c r="A20" s="233" t="s">
        <v>640</v>
      </c>
      <c r="B20" s="234">
        <v>225930452522.52258</v>
      </c>
      <c r="C20" s="234">
        <v>303714432247</v>
      </c>
      <c r="D20" s="234">
        <v>4722258552.213274</v>
      </c>
      <c r="E20" s="234">
        <v>6173506456.8849373</v>
      </c>
      <c r="F20" s="234">
        <v>1081763041.4348626</v>
      </c>
      <c r="G20" s="234">
        <v>76990137801</v>
      </c>
      <c r="H20" s="234">
        <v>14558312687.061268</v>
      </c>
      <c r="I20" s="234">
        <v>730641106.06072521</v>
      </c>
      <c r="J20" s="234">
        <v>2838265245.4153676</v>
      </c>
      <c r="K20" s="234">
        <v>367427265.43461752</v>
      </c>
      <c r="L20" s="234">
        <v>1054354629.0572504</v>
      </c>
      <c r="M20" s="234">
        <v>364783829.34786057</v>
      </c>
      <c r="N20" s="234">
        <v>387026062.40826929</v>
      </c>
      <c r="O20" s="234">
        <v>50171678.383098096</v>
      </c>
      <c r="P20" s="234">
        <v>131458416.03757706</v>
      </c>
      <c r="Q20" s="234">
        <v>141251678.23313022</v>
      </c>
      <c r="R20" s="234">
        <v>132997251.10893458</v>
      </c>
      <c r="S20" s="235">
        <v>639369240469.60376</v>
      </c>
    </row>
  </sheetData>
  <pageMargins left="0.7" right="0.7" top="0.75" bottom="0.75" header="0.3" footer="0.3"/>
  <pageSetup scale="45" orientation="portrait" r:id="rId1"/>
  <colBreaks count="1" manualBreakCount="1">
    <brk id="12" max="1048575" man="1"/>
  </col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16" workbookViewId="0">
      <selection activeCell="C9" sqref="C9"/>
    </sheetView>
  </sheetViews>
  <sheetFormatPr defaultRowHeight="12.75"/>
  <cols>
    <col min="2" max="2" width="51.83203125" bestFit="1" customWidth="1"/>
    <col min="3" max="3" width="17.6640625" bestFit="1" customWidth="1"/>
    <col min="4" max="5" width="18.1640625" bestFit="1" customWidth="1"/>
  </cols>
  <sheetData>
    <row r="1" spans="1:5" ht="15.75">
      <c r="A1" s="208" t="s">
        <v>616</v>
      </c>
      <c r="B1" s="209" t="s">
        <v>658</v>
      </c>
      <c r="C1" s="209">
        <v>2011</v>
      </c>
      <c r="D1" s="209">
        <v>2012</v>
      </c>
      <c r="E1" s="209" t="s">
        <v>56</v>
      </c>
    </row>
    <row r="2" spans="1:5" ht="15.75">
      <c r="A2" s="210" t="s">
        <v>659</v>
      </c>
      <c r="B2" s="211" t="s">
        <v>660</v>
      </c>
      <c r="C2" s="211"/>
      <c r="D2" s="211"/>
      <c r="E2" s="211"/>
    </row>
    <row r="3" spans="1:5" ht="15.75">
      <c r="A3" s="211" t="s">
        <v>661</v>
      </c>
      <c r="B3" s="211" t="s">
        <v>662</v>
      </c>
      <c r="C3" s="212">
        <v>5078450456</v>
      </c>
      <c r="D3" s="213">
        <v>7239337858</v>
      </c>
      <c r="E3" s="214">
        <v>2160887402</v>
      </c>
    </row>
    <row r="4" spans="1:5" ht="15.75">
      <c r="A4" s="215" t="s">
        <v>663</v>
      </c>
      <c r="B4" s="215" t="s">
        <v>664</v>
      </c>
      <c r="C4" s="212">
        <v>12274086983</v>
      </c>
      <c r="D4" s="212">
        <v>22552371237</v>
      </c>
      <c r="E4" s="214">
        <v>10278284254</v>
      </c>
    </row>
    <row r="5" spans="1:5" ht="15.75">
      <c r="A5" s="215" t="s">
        <v>665</v>
      </c>
      <c r="B5" s="215" t="s">
        <v>666</v>
      </c>
      <c r="C5" s="212">
        <v>32041435395</v>
      </c>
      <c r="D5" s="212">
        <v>12115840466</v>
      </c>
      <c r="E5" s="214">
        <v>-19925594929</v>
      </c>
    </row>
    <row r="6" spans="1:5" ht="15.75">
      <c r="A6" s="215"/>
      <c r="B6" s="216" t="s">
        <v>667</v>
      </c>
      <c r="C6" s="217">
        <v>49393972834</v>
      </c>
      <c r="D6" s="217">
        <v>41907549561</v>
      </c>
      <c r="E6" s="218">
        <v>-7486423273</v>
      </c>
    </row>
    <row r="7" spans="1:5" ht="15.75">
      <c r="A7" s="219" t="s">
        <v>668</v>
      </c>
      <c r="B7" s="216" t="s">
        <v>669</v>
      </c>
      <c r="C7" s="217"/>
      <c r="D7" s="217"/>
      <c r="E7" s="214"/>
    </row>
    <row r="8" spans="1:5" ht="15.75">
      <c r="A8" s="211" t="s">
        <v>670</v>
      </c>
      <c r="B8" s="211" t="s">
        <v>671</v>
      </c>
      <c r="C8" s="212">
        <v>16000000000</v>
      </c>
      <c r="D8" s="212">
        <v>2665699949</v>
      </c>
      <c r="E8" s="214">
        <v>-13334300051</v>
      </c>
    </row>
    <row r="9" spans="1:5" ht="15.75">
      <c r="A9" s="211"/>
      <c r="B9" s="220" t="s">
        <v>667</v>
      </c>
      <c r="C9" s="217">
        <v>16000000000</v>
      </c>
      <c r="D9" s="217">
        <v>2665699949</v>
      </c>
      <c r="E9" s="218">
        <v>-13334300051</v>
      </c>
    </row>
    <row r="10" spans="1:5" ht="15.75">
      <c r="A10" s="210" t="s">
        <v>672</v>
      </c>
      <c r="B10" s="220" t="s">
        <v>673</v>
      </c>
      <c r="C10" s="217"/>
      <c r="D10" s="217"/>
      <c r="E10" s="214"/>
    </row>
    <row r="11" spans="1:5" ht="15.75">
      <c r="A11" s="211" t="s">
        <v>674</v>
      </c>
      <c r="B11" s="211" t="s">
        <v>675</v>
      </c>
      <c r="C11" s="212">
        <v>45067866606</v>
      </c>
      <c r="D11" s="212">
        <v>58989756777</v>
      </c>
      <c r="E11" s="214">
        <v>13921890171</v>
      </c>
    </row>
    <row r="12" spans="1:5" ht="15.75">
      <c r="A12" s="215" t="s">
        <v>676</v>
      </c>
      <c r="B12" s="215" t="s">
        <v>677</v>
      </c>
      <c r="C12" s="212">
        <v>651250000</v>
      </c>
      <c r="D12" s="212">
        <v>1200000000</v>
      </c>
      <c r="E12" s="214">
        <v>548750000</v>
      </c>
    </row>
    <row r="13" spans="1:5" ht="15.75">
      <c r="A13" s="215" t="s">
        <v>678</v>
      </c>
      <c r="B13" s="215" t="s">
        <v>679</v>
      </c>
      <c r="C13" s="212">
        <v>38651925000</v>
      </c>
      <c r="D13" s="212">
        <v>6385980000</v>
      </c>
      <c r="E13" s="214">
        <v>-32265945000</v>
      </c>
    </row>
    <row r="14" spans="1:5" ht="15.75">
      <c r="A14" s="211" t="s">
        <v>680</v>
      </c>
      <c r="B14" s="211" t="s">
        <v>681</v>
      </c>
      <c r="C14" s="212">
        <v>476934000</v>
      </c>
      <c r="D14" s="212">
        <v>645338299</v>
      </c>
      <c r="E14" s="214">
        <v>168404299</v>
      </c>
    </row>
    <row r="15" spans="1:5" ht="15.75">
      <c r="A15" s="211"/>
      <c r="B15" s="220" t="s">
        <v>667</v>
      </c>
      <c r="C15" s="217">
        <v>84847975606</v>
      </c>
      <c r="D15" s="217">
        <v>67221075076</v>
      </c>
      <c r="E15" s="218">
        <v>-17626900530</v>
      </c>
    </row>
    <row r="16" spans="1:5" ht="15.75">
      <c r="A16" s="210" t="s">
        <v>682</v>
      </c>
      <c r="B16" s="220" t="s">
        <v>683</v>
      </c>
      <c r="C16" s="217"/>
      <c r="D16" s="217"/>
      <c r="E16" s="214"/>
    </row>
    <row r="17" spans="1:5" ht="15.75">
      <c r="A17" s="221" t="s">
        <v>684</v>
      </c>
      <c r="B17" s="211" t="s">
        <v>685</v>
      </c>
      <c r="C17" s="213">
        <v>0</v>
      </c>
      <c r="D17" s="213">
        <v>0</v>
      </c>
      <c r="E17" s="213">
        <v>0</v>
      </c>
    </row>
    <row r="18" spans="1:5" ht="15.75">
      <c r="A18" s="215" t="s">
        <v>686</v>
      </c>
      <c r="B18" s="215" t="s">
        <v>687</v>
      </c>
      <c r="C18" s="212">
        <v>2000000</v>
      </c>
      <c r="D18" s="213">
        <v>0</v>
      </c>
      <c r="E18" s="214">
        <v>-2000000</v>
      </c>
    </row>
    <row r="19" spans="1:5" ht="15.75">
      <c r="A19" s="215" t="s">
        <v>688</v>
      </c>
      <c r="B19" s="215" t="s">
        <v>689</v>
      </c>
      <c r="C19" s="212">
        <v>4614981253</v>
      </c>
      <c r="D19" s="212">
        <v>9100813803</v>
      </c>
      <c r="E19" s="214">
        <v>4485832550</v>
      </c>
    </row>
    <row r="20" spans="1:5" ht="15.75">
      <c r="A20" s="215" t="s">
        <v>690</v>
      </c>
      <c r="B20" s="215" t="s">
        <v>691</v>
      </c>
      <c r="C20" s="212">
        <v>1055961921</v>
      </c>
      <c r="D20" s="212">
        <v>3986692543</v>
      </c>
      <c r="E20" s="214">
        <v>2930730622</v>
      </c>
    </row>
    <row r="21" spans="1:5" ht="15.75">
      <c r="A21" s="215" t="s">
        <v>692</v>
      </c>
      <c r="B21" s="215" t="s">
        <v>693</v>
      </c>
      <c r="C21" s="211">
        <v>904509447</v>
      </c>
      <c r="D21" s="213">
        <v>3506538010</v>
      </c>
      <c r="E21" s="214">
        <v>2602028563</v>
      </c>
    </row>
    <row r="22" spans="1:5" ht="15.75">
      <c r="A22" s="211" t="s">
        <v>694</v>
      </c>
      <c r="B22" s="211" t="s">
        <v>695</v>
      </c>
      <c r="C22" s="212">
        <v>32102526407</v>
      </c>
      <c r="D22" s="212">
        <v>21387064888</v>
      </c>
      <c r="E22" s="214">
        <v>-10715461519</v>
      </c>
    </row>
    <row r="23" spans="1:5" ht="15.75">
      <c r="A23" s="211" t="s">
        <v>696</v>
      </c>
      <c r="B23" s="211" t="s">
        <v>697</v>
      </c>
      <c r="C23" s="213">
        <v>0</v>
      </c>
      <c r="D23" s="212">
        <v>14796148</v>
      </c>
      <c r="E23" s="214">
        <v>14796148</v>
      </c>
    </row>
    <row r="24" spans="1:5" ht="15.75">
      <c r="A24" s="211" t="s">
        <v>698</v>
      </c>
      <c r="B24" s="211" t="s">
        <v>699</v>
      </c>
      <c r="C24" s="213">
        <v>0</v>
      </c>
      <c r="D24" s="213">
        <v>0</v>
      </c>
      <c r="E24" s="213">
        <v>0</v>
      </c>
    </row>
    <row r="25" spans="1:5" ht="15.75">
      <c r="A25" s="211" t="s">
        <v>700</v>
      </c>
      <c r="B25" s="211" t="s">
        <v>701</v>
      </c>
      <c r="C25" s="213">
        <v>15427621</v>
      </c>
      <c r="D25" s="213">
        <v>16466508</v>
      </c>
      <c r="E25" s="214">
        <v>1038887</v>
      </c>
    </row>
    <row r="26" spans="1:5" ht="15.75">
      <c r="A26" s="222"/>
      <c r="B26" s="222" t="s">
        <v>667</v>
      </c>
      <c r="C26" s="223">
        <v>38695406649</v>
      </c>
      <c r="D26" s="223">
        <v>38012371900</v>
      </c>
      <c r="E26" s="218">
        <v>-683034749</v>
      </c>
    </row>
    <row r="27" spans="1:5" ht="15.75">
      <c r="A27" s="210" t="s">
        <v>702</v>
      </c>
      <c r="B27" s="220" t="s">
        <v>703</v>
      </c>
      <c r="C27" s="217"/>
      <c r="D27" s="217"/>
      <c r="E27" s="214"/>
    </row>
    <row r="28" spans="1:5" ht="15.75">
      <c r="A28" s="211" t="s">
        <v>704</v>
      </c>
      <c r="B28" s="211" t="s">
        <v>705</v>
      </c>
      <c r="C28" s="212">
        <v>174484933495</v>
      </c>
      <c r="D28" s="212">
        <v>197723353938</v>
      </c>
      <c r="E28" s="214">
        <v>23238420443</v>
      </c>
    </row>
    <row r="29" spans="1:5" ht="15.75">
      <c r="A29" s="211" t="s">
        <v>706</v>
      </c>
      <c r="B29" s="211" t="s">
        <v>707</v>
      </c>
      <c r="C29" s="212">
        <v>273461297</v>
      </c>
      <c r="D29" s="212">
        <v>377299572</v>
      </c>
      <c r="E29" s="214">
        <v>103838275</v>
      </c>
    </row>
    <row r="30" spans="1:5" ht="15.75">
      <c r="A30" s="211" t="s">
        <v>708</v>
      </c>
      <c r="B30" s="211" t="s">
        <v>709</v>
      </c>
      <c r="C30" s="212">
        <v>22710513164</v>
      </c>
      <c r="D30" s="212">
        <v>21905747140</v>
      </c>
      <c r="E30" s="214">
        <v>-804766024</v>
      </c>
    </row>
    <row r="31" spans="1:5" ht="15.75">
      <c r="A31" s="211" t="s">
        <v>710</v>
      </c>
      <c r="B31" s="211" t="s">
        <v>711</v>
      </c>
      <c r="C31" s="212">
        <v>48180166000</v>
      </c>
      <c r="D31" s="212">
        <v>67978527261</v>
      </c>
      <c r="E31" s="214">
        <v>19798361261</v>
      </c>
    </row>
    <row r="32" spans="1:5" ht="15.75">
      <c r="A32" s="220"/>
      <c r="B32" s="220" t="s">
        <v>667</v>
      </c>
      <c r="C32" s="217">
        <v>245649073956</v>
      </c>
      <c r="D32" s="217">
        <v>287984927911</v>
      </c>
      <c r="E32" s="218">
        <v>42335853955</v>
      </c>
    </row>
    <row r="33" spans="1:5" ht="15.75">
      <c r="A33" s="210" t="s">
        <v>712</v>
      </c>
      <c r="B33" s="220" t="s">
        <v>713</v>
      </c>
      <c r="C33" s="217"/>
      <c r="D33" s="217"/>
      <c r="E33" s="214"/>
    </row>
    <row r="34" spans="1:5" ht="15.75">
      <c r="A34" s="211" t="s">
        <v>714</v>
      </c>
      <c r="B34" s="211" t="s">
        <v>715</v>
      </c>
      <c r="C34" s="224">
        <v>0</v>
      </c>
      <c r="D34" s="212">
        <v>182140202</v>
      </c>
      <c r="E34" s="214">
        <v>182140202</v>
      </c>
    </row>
    <row r="35" spans="1:5" ht="15.75">
      <c r="A35" s="211" t="s">
        <v>716</v>
      </c>
      <c r="B35" s="211" t="s">
        <v>717</v>
      </c>
      <c r="C35" s="212">
        <v>39530939314</v>
      </c>
      <c r="D35" s="212">
        <v>27676845551</v>
      </c>
      <c r="E35" s="214">
        <v>-11854093763</v>
      </c>
    </row>
    <row r="36" spans="1:5" ht="15.75">
      <c r="A36" s="211" t="s">
        <v>718</v>
      </c>
      <c r="B36" s="211" t="s">
        <v>719</v>
      </c>
      <c r="C36" s="212">
        <v>2701337164</v>
      </c>
      <c r="D36" s="212">
        <v>2684214814</v>
      </c>
      <c r="E36" s="214">
        <v>-17122350</v>
      </c>
    </row>
    <row r="37" spans="1:5" ht="15.75">
      <c r="A37" s="211" t="s">
        <v>720</v>
      </c>
      <c r="B37" s="211" t="s">
        <v>721</v>
      </c>
      <c r="C37" s="212">
        <v>379601856</v>
      </c>
      <c r="D37" s="212">
        <v>682369692</v>
      </c>
      <c r="E37" s="214">
        <v>302767836</v>
      </c>
    </row>
    <row r="38" spans="1:5" ht="15.75">
      <c r="A38" s="211" t="s">
        <v>722</v>
      </c>
      <c r="B38" s="211" t="s">
        <v>723</v>
      </c>
      <c r="C38" s="213">
        <v>0</v>
      </c>
      <c r="D38" s="213">
        <v>0</v>
      </c>
      <c r="E38" s="213">
        <v>0</v>
      </c>
    </row>
    <row r="39" spans="1:5" ht="15.75">
      <c r="A39" s="211"/>
      <c r="B39" s="220" t="s">
        <v>667</v>
      </c>
      <c r="C39" s="217">
        <v>42611878334</v>
      </c>
      <c r="D39" s="217">
        <v>31225570259</v>
      </c>
      <c r="E39" s="218">
        <v>-11386308075</v>
      </c>
    </row>
    <row r="40" spans="1:5" ht="15.75">
      <c r="A40" s="210" t="s">
        <v>724</v>
      </c>
      <c r="B40" s="220" t="s">
        <v>725</v>
      </c>
      <c r="C40" s="217"/>
      <c r="D40" s="217"/>
      <c r="E40" s="214"/>
    </row>
    <row r="41" spans="1:5" ht="15.75">
      <c r="A41" s="211" t="s">
        <v>726</v>
      </c>
      <c r="B41" s="211" t="s">
        <v>727</v>
      </c>
      <c r="C41" s="224">
        <v>0</v>
      </c>
      <c r="D41" s="213">
        <v>57864339373</v>
      </c>
      <c r="E41" s="213">
        <v>57864339373</v>
      </c>
    </row>
    <row r="42" spans="1:5" ht="15.75">
      <c r="A42" s="211" t="s">
        <v>728</v>
      </c>
      <c r="B42" s="211" t="s">
        <v>729</v>
      </c>
      <c r="C42" s="212">
        <v>1000000000</v>
      </c>
      <c r="D42" s="213">
        <v>0</v>
      </c>
      <c r="E42" s="214">
        <v>-1000000000</v>
      </c>
    </row>
    <row r="43" spans="1:5" ht="15.75">
      <c r="A43" s="211" t="s">
        <v>730</v>
      </c>
      <c r="B43" s="211" t="s">
        <v>731</v>
      </c>
      <c r="C43" s="213">
        <v>10000000000</v>
      </c>
      <c r="D43" s="213">
        <v>15622739863</v>
      </c>
      <c r="E43" s="214">
        <v>5622739863</v>
      </c>
    </row>
    <row r="44" spans="1:5" ht="15.75">
      <c r="A44" s="211" t="s">
        <v>732</v>
      </c>
      <c r="B44" s="211" t="s">
        <v>733</v>
      </c>
      <c r="C44" s="213">
        <v>0</v>
      </c>
      <c r="D44" s="213">
        <v>40836096697</v>
      </c>
      <c r="E44" s="214">
        <v>40836096697</v>
      </c>
    </row>
    <row r="45" spans="1:5" ht="15.75">
      <c r="A45" s="211"/>
      <c r="B45" s="220" t="s">
        <v>667</v>
      </c>
      <c r="C45" s="217">
        <v>11000000000</v>
      </c>
      <c r="D45" s="217">
        <v>114323175933</v>
      </c>
      <c r="E45" s="218">
        <v>103323175933</v>
      </c>
    </row>
    <row r="46" spans="1:5" ht="15.75">
      <c r="A46" s="210" t="s">
        <v>734</v>
      </c>
      <c r="B46" s="220" t="s">
        <v>735</v>
      </c>
      <c r="C46" s="220"/>
      <c r="D46" s="220"/>
      <c r="E46" s="214"/>
    </row>
    <row r="47" spans="1:5" ht="15.75">
      <c r="A47" s="211" t="s">
        <v>736</v>
      </c>
      <c r="B47" s="211" t="s">
        <v>737</v>
      </c>
      <c r="C47" s="212">
        <v>224839500</v>
      </c>
      <c r="D47" s="212">
        <v>2435199</v>
      </c>
      <c r="E47" s="214">
        <v>-222404301</v>
      </c>
    </row>
    <row r="48" spans="1:5" ht="15.75">
      <c r="A48" s="215" t="s">
        <v>738</v>
      </c>
      <c r="B48" s="215" t="s">
        <v>739</v>
      </c>
      <c r="C48" s="212">
        <v>10000000</v>
      </c>
      <c r="D48" s="213">
        <v>0</v>
      </c>
      <c r="E48" s="214">
        <v>-10000000</v>
      </c>
    </row>
    <row r="49" spans="1:5" ht="15.75">
      <c r="A49" s="215" t="s">
        <v>740</v>
      </c>
      <c r="B49" s="215" t="s">
        <v>741</v>
      </c>
      <c r="C49" s="212">
        <v>1802370000</v>
      </c>
      <c r="D49" s="212">
        <v>3108964333</v>
      </c>
      <c r="E49" s="214">
        <v>1306594333</v>
      </c>
    </row>
    <row r="50" spans="1:5" ht="15.75">
      <c r="A50" s="215" t="s">
        <v>742</v>
      </c>
      <c r="B50" s="215" t="s">
        <v>743</v>
      </c>
      <c r="C50" s="212">
        <v>4351403000</v>
      </c>
      <c r="D50" s="212">
        <v>5641855391</v>
      </c>
      <c r="E50" s="214">
        <v>1290452391</v>
      </c>
    </row>
    <row r="51" spans="1:5" ht="15.75">
      <c r="A51" s="215" t="s">
        <v>744</v>
      </c>
      <c r="B51" s="215" t="s">
        <v>745</v>
      </c>
      <c r="C51" s="212">
        <v>10815660000</v>
      </c>
      <c r="D51" s="212">
        <v>6619495237</v>
      </c>
      <c r="E51" s="214">
        <v>-4196164763</v>
      </c>
    </row>
    <row r="52" spans="1:5" ht="15.75">
      <c r="A52" s="216"/>
      <c r="B52" s="216" t="s">
        <v>667</v>
      </c>
      <c r="C52" s="217">
        <v>17204272500</v>
      </c>
      <c r="D52" s="217">
        <v>15372750160</v>
      </c>
      <c r="E52" s="218">
        <v>-1831522340</v>
      </c>
    </row>
    <row r="53" spans="1:5" ht="15.75">
      <c r="A53" s="219" t="s">
        <v>746</v>
      </c>
      <c r="B53" s="216" t="s">
        <v>747</v>
      </c>
      <c r="C53" s="217"/>
      <c r="D53" s="217"/>
      <c r="E53" s="214"/>
    </row>
    <row r="54" spans="1:5" ht="15.75">
      <c r="A54" s="211" t="s">
        <v>748</v>
      </c>
      <c r="B54" s="211" t="s">
        <v>749</v>
      </c>
      <c r="C54" s="212">
        <v>17392122534</v>
      </c>
      <c r="D54" s="212">
        <v>26193501459</v>
      </c>
      <c r="E54" s="214">
        <v>8801378925</v>
      </c>
    </row>
    <row r="55" spans="1:5" ht="15.75">
      <c r="A55" s="211" t="s">
        <v>750</v>
      </c>
      <c r="B55" s="211" t="s">
        <v>751</v>
      </c>
      <c r="C55" s="212">
        <v>586493373</v>
      </c>
      <c r="D55" s="212">
        <v>884519728</v>
      </c>
      <c r="E55" s="214">
        <v>298026355</v>
      </c>
    </row>
    <row r="56" spans="1:5" ht="15.75">
      <c r="A56" s="211" t="s">
        <v>752</v>
      </c>
      <c r="B56" s="211" t="s">
        <v>753</v>
      </c>
      <c r="C56" s="212">
        <v>2500000</v>
      </c>
      <c r="D56" s="212">
        <v>13503026</v>
      </c>
      <c r="E56" s="214">
        <v>11003026</v>
      </c>
    </row>
    <row r="57" spans="1:5" ht="15.75">
      <c r="A57" s="211" t="s">
        <v>754</v>
      </c>
      <c r="B57" s="211" t="s">
        <v>755</v>
      </c>
      <c r="C57" s="212">
        <v>3485396000</v>
      </c>
      <c r="D57" s="212">
        <v>7202219292</v>
      </c>
      <c r="E57" s="214">
        <v>3716823292</v>
      </c>
    </row>
    <row r="58" spans="1:5" ht="15.75">
      <c r="A58" s="211" t="s">
        <v>756</v>
      </c>
      <c r="B58" s="211" t="s">
        <v>757</v>
      </c>
      <c r="C58" s="213">
        <v>0</v>
      </c>
      <c r="D58" s="212">
        <v>1505600509</v>
      </c>
      <c r="E58" s="214">
        <v>1505600509</v>
      </c>
    </row>
    <row r="59" spans="1:5" ht="15.75">
      <c r="A59" s="211" t="s">
        <v>758</v>
      </c>
      <c r="B59" s="211" t="s">
        <v>759</v>
      </c>
      <c r="C59" s="212">
        <v>1807969908</v>
      </c>
      <c r="D59" s="212">
        <v>957620362</v>
      </c>
      <c r="E59" s="214">
        <v>-850349546</v>
      </c>
    </row>
    <row r="60" spans="1:5" ht="15.75">
      <c r="A60" s="211" t="s">
        <v>760</v>
      </c>
      <c r="B60" s="211" t="s">
        <v>761</v>
      </c>
      <c r="C60" s="212">
        <v>572704104</v>
      </c>
      <c r="D60" s="212">
        <v>2805632830</v>
      </c>
      <c r="E60" s="214">
        <v>2232928726</v>
      </c>
    </row>
    <row r="61" spans="1:5" ht="15.75">
      <c r="A61" s="211" t="s">
        <v>762</v>
      </c>
      <c r="B61" s="211" t="s">
        <v>763</v>
      </c>
      <c r="C61" s="213">
        <v>0</v>
      </c>
      <c r="D61" s="213">
        <v>0</v>
      </c>
      <c r="E61" s="213">
        <v>0</v>
      </c>
    </row>
    <row r="62" spans="1:5" ht="15.75">
      <c r="A62" s="211" t="s">
        <v>764</v>
      </c>
      <c r="B62" s="211" t="s">
        <v>765</v>
      </c>
      <c r="C62" s="213">
        <v>0</v>
      </c>
      <c r="D62" s="213">
        <v>0</v>
      </c>
      <c r="E62" s="213">
        <v>0</v>
      </c>
    </row>
    <row r="63" spans="1:5" ht="15.75">
      <c r="A63" s="211" t="s">
        <v>766</v>
      </c>
      <c r="B63" s="211" t="s">
        <v>767</v>
      </c>
      <c r="C63" s="213">
        <v>0</v>
      </c>
      <c r="D63" s="213">
        <v>0</v>
      </c>
      <c r="E63" s="213">
        <v>0</v>
      </c>
    </row>
    <row r="64" spans="1:5" ht="15.75">
      <c r="A64" s="211" t="s">
        <v>768</v>
      </c>
      <c r="B64" s="211" t="s">
        <v>769</v>
      </c>
      <c r="C64" s="213">
        <v>0</v>
      </c>
      <c r="D64" s="213">
        <v>0</v>
      </c>
      <c r="E64" s="213">
        <v>0</v>
      </c>
    </row>
    <row r="65" spans="1:5" ht="15.75">
      <c r="A65" s="211"/>
      <c r="B65" s="220" t="s">
        <v>667</v>
      </c>
      <c r="C65" s="217">
        <v>23847185919</v>
      </c>
      <c r="D65" s="217">
        <v>39562597206</v>
      </c>
      <c r="E65" s="218">
        <v>15715411287</v>
      </c>
    </row>
    <row r="66" spans="1:5" ht="15.75">
      <c r="A66" s="220" t="s">
        <v>770</v>
      </c>
      <c r="B66" s="220" t="s">
        <v>771</v>
      </c>
      <c r="C66" s="212"/>
      <c r="D66" s="212"/>
      <c r="E66" s="214"/>
    </row>
    <row r="67" spans="1:5" ht="15.75">
      <c r="A67" s="211" t="s">
        <v>772</v>
      </c>
      <c r="B67" s="211" t="s">
        <v>773</v>
      </c>
      <c r="C67" s="212">
        <v>575680332</v>
      </c>
      <c r="D67" s="212">
        <v>863422715</v>
      </c>
      <c r="E67" s="214">
        <v>287742383</v>
      </c>
    </row>
    <row r="68" spans="1:5" ht="15.75">
      <c r="A68" s="211" t="s">
        <v>774</v>
      </c>
      <c r="B68" s="211" t="s">
        <v>775</v>
      </c>
      <c r="C68" s="212">
        <v>109876116</v>
      </c>
      <c r="D68" s="212">
        <v>230099800</v>
      </c>
      <c r="E68" s="214">
        <v>120223684</v>
      </c>
    </row>
    <row r="69" spans="1:5" ht="15.75">
      <c r="A69" s="211"/>
      <c r="B69" s="220" t="s">
        <v>667</v>
      </c>
      <c r="C69" s="217">
        <v>685556448</v>
      </c>
      <c r="D69" s="217">
        <v>1093522515</v>
      </c>
      <c r="E69" s="218">
        <v>407966067</v>
      </c>
    </row>
    <row r="70" spans="1:5" ht="15.75">
      <c r="A70" s="220" t="s">
        <v>776</v>
      </c>
      <c r="B70" s="211" t="s">
        <v>777</v>
      </c>
      <c r="C70" s="211"/>
      <c r="D70" s="211"/>
      <c r="E70" s="214"/>
    </row>
    <row r="71" spans="1:5" ht="15.75">
      <c r="A71" s="220"/>
      <c r="B71" s="220" t="s">
        <v>778</v>
      </c>
      <c r="C71" s="217">
        <v>529935322246</v>
      </c>
      <c r="D71" s="218">
        <v>639369240470</v>
      </c>
      <c r="E71" s="218">
        <v>109433918224</v>
      </c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60" workbookViewId="0">
      <selection activeCell="B1" sqref="B1:D9"/>
    </sheetView>
  </sheetViews>
  <sheetFormatPr defaultRowHeight="12.75"/>
  <cols>
    <col min="2" max="2" width="54.6640625" bestFit="1" customWidth="1"/>
    <col min="3" max="3" width="42.6640625" bestFit="1" customWidth="1"/>
    <col min="4" max="4" width="41.5" bestFit="1" customWidth="1"/>
  </cols>
  <sheetData>
    <row r="1" spans="1:4" ht="30.75">
      <c r="C1" s="237" t="s">
        <v>783</v>
      </c>
      <c r="D1" s="237" t="s">
        <v>782</v>
      </c>
    </row>
    <row r="2" spans="1:4" ht="50.1" customHeight="1">
      <c r="A2" s="31"/>
      <c r="B2" s="237" t="s">
        <v>780</v>
      </c>
      <c r="C2" s="238" t="e">
        <f>'011-012'!J19+'013'!I5+'013'!I6+'021'!N5+'021'!N6+'031'!M5+'031'!M6+'041'!M5+'041'!M6+'051'!M5+'051'!M6+'061'!M5+'061'!#REF!+'061'!M6+'071'!N5+'071'!N6+'081'!L4+'081'!L5+'082'!N5+'083'!D5+'091'!N4+'091'!N5+'101'!N4+'101'!N6+'102'!N4+'103'!M4+'104'!N5+'104'!N6+'105'!O5+'105'!O6+'111'!N5+'111'!N6+'112'!N4+'113'!J5+#REF!+'115'!L5+'121'!N5+'121'!N7+#REF!+#REF!+'131'!N4+'131'!N5+'132'!N4+'132'!#REF!+'141'!N4+'141'!N5+'151'!N5+'151'!N6+'161'!N4+'161'!N5+'171'!O5+'171'!O6+'181'!N5+'181'!N6+'191'!N4+'191'!N5+'201'!N4+'201'!N5+'211'!N5+'211'!N7+'221'!M5+'221'!M6+'222'!D5+'223'!D5+'231'!L5+'231'!L6+'241'!M5+'241'!M6+'251'!N5+'251'!N6+'261'!N5+'261'!N6+'271'!N5+'271'!N6+'114'!N4+'114'!N5+'291'!N5+'291'!N6+'301'!L5+'301'!L6+'311'!N5+'311'!N6+'321'!O5+'321'!O6+'331'!N5+'331'!N6+'341'!O3+'341'!O4+#REF!+#REF!+#REF!+#REF!+#REF!+#REF!+'381'!E5+'381'!E6+'391'!L5+'391'!L6+'401'!N5+'401'!N7+'411'!D4+'411'!D5+'421'!D4+'421'!D5</f>
        <v>#REF!</v>
      </c>
      <c r="D2" s="238" t="e">
        <f t="shared" ref="D2:D7" si="0">C2/6</f>
        <v>#REF!</v>
      </c>
    </row>
    <row r="3" spans="1:4" ht="50.1" customHeight="1">
      <c r="A3" s="31"/>
      <c r="B3" s="237" t="s">
        <v>781</v>
      </c>
      <c r="C3" s="238" t="e">
        <f>'011-012'!J20+'013'!I7+'021'!N8+'031'!M8+'031'!M9+'041'!M7+'041'!M8+'051'!M7+'051'!M9+'061'!M7+'061'!M8+'071'!N7+'071'!N8+'081'!L6+'081'!L7+'082'!N7+'082'!N8+'083'!D6+'091'!N6+'091'!N7+'101'!N7+'101'!N9+'102'!N6+'103'!M6+'103'!M7+'103'!M8+'104'!N7+'105'!O7+'111'!N7+'112'!N5+'113'!J7+'113'!J8+#REF!+'115'!L7+'115'!L8+'121'!N8+#REF!+'131'!N6+'132'!N6+'132'!N5+'141'!N6+'141'!N7+'151'!N7+'151'!N8+'161'!N6+'161'!N7+'171'!O7+'181'!N7+'181'!N8+'191'!N6+'191'!N7+'201'!N6+'211'!N8+'211'!N9+'221'!M7+'221'!M8+'222'!D7+'223'!D7+'231'!L7+'231'!L8+'241'!M7+'241'!M8+'251'!N7+'251'!N8+'261'!N7+'261'!N8+'271'!N9+'271'!N10+'114'!N6+'114'!N7+'291'!N7+'291'!N8+'301'!L7+'311'!N7+'321'!O7+'331'!N7+'341'!O5+'341'!O6+#REF!+#REF!+#REF!+'381'!E7+'391'!L7+'391'!L8+'401'!N8+'411'!D6+'421'!D6</f>
        <v>#REF!</v>
      </c>
      <c r="D3" s="238" t="e">
        <f t="shared" si="0"/>
        <v>#REF!</v>
      </c>
    </row>
    <row r="4" spans="1:4" ht="49.5" customHeight="1">
      <c r="A4" s="31"/>
      <c r="B4" s="237" t="s">
        <v>447</v>
      </c>
      <c r="C4" s="238" t="e">
        <f>'082'!N33+'102'!N33+'112'!N33+'113'!J29+'115'!L33+'132'!N29+'221'!#REF!+'301'!L28+'271'!N32+'271'!N33</f>
        <v>#REF!</v>
      </c>
      <c r="D4" s="238" t="e">
        <f t="shared" si="0"/>
        <v>#REF!</v>
      </c>
    </row>
    <row r="5" spans="1:4" ht="49.5" customHeight="1">
      <c r="A5" s="31"/>
      <c r="B5" s="237" t="s">
        <v>801</v>
      </c>
      <c r="C5" s="238">
        <v>4550400000</v>
      </c>
      <c r="D5" s="238">
        <f t="shared" si="0"/>
        <v>758400000</v>
      </c>
    </row>
    <row r="6" spans="1:4" ht="49.5" customHeight="1">
      <c r="A6" s="31"/>
      <c r="B6" s="237" t="s">
        <v>802</v>
      </c>
      <c r="C6" s="238" t="e">
        <f>'021'!N18+'031'!M19+'081'!L21+'083'!D15+'091'!N17+'101'!N19+'103'!M21+'104'!N18+'111'!N15+'115'!L19+'141'!N14+'151'!N20+'161'!N13+'181'!N14+'201'!N15+'211'!N17+'221'!M14+'223'!D15+'241'!M16+'261'!N18+'311'!N14+#REF!+#REF!+'381'!E16+'401'!N18+'411'!D15</f>
        <v>#REF!</v>
      </c>
      <c r="D6" s="238" t="e">
        <f t="shared" si="0"/>
        <v>#REF!</v>
      </c>
    </row>
    <row r="7" spans="1:4" ht="50.1" customHeight="1">
      <c r="A7" s="31"/>
      <c r="B7" s="239" t="s">
        <v>784</v>
      </c>
      <c r="C7" s="240" t="e">
        <f>SUM(C2:C6)</f>
        <v>#REF!</v>
      </c>
      <c r="D7" s="238" t="e">
        <f t="shared" si="0"/>
        <v>#REF!</v>
      </c>
    </row>
    <row r="8" spans="1:4" ht="50.1" customHeight="1">
      <c r="A8" s="31"/>
      <c r="B8" s="1027" t="s">
        <v>785</v>
      </c>
      <c r="C8" s="1028"/>
      <c r="D8" s="240">
        <v>82275662000</v>
      </c>
    </row>
    <row r="9" spans="1:4" ht="50.1" customHeight="1">
      <c r="A9" s="31"/>
      <c r="B9" s="1027" t="s">
        <v>786</v>
      </c>
      <c r="C9" s="1028"/>
      <c r="D9" s="240" t="e">
        <f>D8-D7</f>
        <v>#REF!</v>
      </c>
    </row>
  </sheetData>
  <mergeCells count="2">
    <mergeCell ref="B8:C8"/>
    <mergeCell ref="B9:C9"/>
  </mergeCells>
  <pageMargins left="0.7" right="0.7" top="2.19" bottom="0.75" header="0.66" footer="0.3"/>
  <pageSetup scale="90" orientation="landscape" r:id="rId1"/>
  <headerFooter>
    <oddHeader>&amp;C&amp;"Times New Roman,Bold"&amp;36Soo koobida Kharashaadka Daruuriga ah.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view="pageBreakPreview" zoomScale="60" workbookViewId="0">
      <selection activeCell="D5" sqref="D5"/>
    </sheetView>
  </sheetViews>
  <sheetFormatPr defaultRowHeight="12.75"/>
  <cols>
    <col min="1" max="1" width="15.1640625" bestFit="1" customWidth="1"/>
    <col min="2" max="3" width="23.33203125" bestFit="1" customWidth="1"/>
    <col min="4" max="4" width="21" customWidth="1"/>
    <col min="9" max="9" width="12.1640625" bestFit="1" customWidth="1"/>
    <col min="10" max="10" width="9.6640625" bestFit="1" customWidth="1"/>
    <col min="11" max="11" width="12" bestFit="1" customWidth="1"/>
    <col min="12" max="12" width="13.83203125" bestFit="1" customWidth="1"/>
  </cols>
  <sheetData>
    <row r="2" spans="1:12" ht="15.75">
      <c r="A2" s="241"/>
      <c r="B2" s="241"/>
      <c r="C2" s="1029" t="s">
        <v>787</v>
      </c>
      <c r="D2" s="1029"/>
      <c r="E2" s="1029"/>
      <c r="F2" s="1029"/>
      <c r="G2" s="241"/>
      <c r="H2" s="241"/>
      <c r="I2" s="241"/>
      <c r="J2" s="241"/>
      <c r="K2" s="241"/>
      <c r="L2" s="241"/>
    </row>
    <row r="3" spans="1:12" ht="15.75">
      <c r="A3" s="241"/>
      <c r="B3" s="241" t="s">
        <v>788</v>
      </c>
      <c r="C3" s="241" t="s">
        <v>789</v>
      </c>
      <c r="D3" s="241" t="s">
        <v>790</v>
      </c>
      <c r="E3" s="241" t="s">
        <v>791</v>
      </c>
      <c r="F3" s="241" t="s">
        <v>792</v>
      </c>
      <c r="G3" s="241" t="s">
        <v>793</v>
      </c>
      <c r="H3" s="241" t="s">
        <v>794</v>
      </c>
      <c r="I3" s="241" t="s">
        <v>795</v>
      </c>
      <c r="J3" s="241" t="s">
        <v>796</v>
      </c>
      <c r="K3" s="241" t="s">
        <v>797</v>
      </c>
      <c r="L3" s="241" t="s">
        <v>798</v>
      </c>
    </row>
    <row r="4" spans="1:12" ht="15.75">
      <c r="A4" s="241" t="s">
        <v>799</v>
      </c>
      <c r="B4" s="242">
        <f>Sheet1!D8/2</f>
        <v>41137831000</v>
      </c>
      <c r="C4" s="242">
        <f>B4*2</f>
        <v>82275662000</v>
      </c>
      <c r="D4" s="243" t="e">
        <f>C4-C5</f>
        <v>#REF!</v>
      </c>
      <c r="E4" s="241"/>
      <c r="F4" s="241"/>
      <c r="G4" s="241"/>
      <c r="H4" s="241"/>
      <c r="I4" s="241"/>
      <c r="J4" s="241"/>
      <c r="K4" s="241"/>
      <c r="L4" s="241"/>
    </row>
    <row r="5" spans="1:12" ht="15.75">
      <c r="A5" s="241" t="s">
        <v>800</v>
      </c>
      <c r="B5" s="244" t="e">
        <f>Sheet1!D7/2</f>
        <v>#REF!</v>
      </c>
      <c r="C5" s="244" t="e">
        <f>B5*2</f>
        <v>#REF!</v>
      </c>
      <c r="D5" s="245" t="e">
        <f>D4+B5</f>
        <v>#REF!</v>
      </c>
      <c r="E5" s="241"/>
      <c r="F5" s="241"/>
      <c r="G5" s="241"/>
      <c r="H5" s="241"/>
      <c r="I5" s="241"/>
      <c r="J5" s="241"/>
      <c r="K5" s="241"/>
      <c r="L5" s="241"/>
    </row>
    <row r="6" spans="1:12" ht="15.75">
      <c r="A6" s="241"/>
      <c r="B6" s="244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ht="15.7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12" ht="15.7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.75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ht="15.75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15.75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15.7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ht="15.75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2" ht="15.75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12" ht="15.7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5.7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15.75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5.7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</row>
    <row r="19" spans="1:12" ht="15.7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</row>
    <row r="20" spans="1:12" ht="15.7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ht="15.7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5.7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5.7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15.7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5.7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1:12" ht="15.7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</row>
    <row r="27" spans="1:12" ht="15.7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ht="15.7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</row>
    <row r="29" spans="1:12" ht="15.7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</row>
    <row r="30" spans="1:12" ht="15.7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</row>
    <row r="31" spans="1:12" ht="15.7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2" ht="15.7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12" ht="15.7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</row>
  </sheetData>
  <mergeCells count="1">
    <mergeCell ref="C2:F2"/>
  </mergeCells>
  <pageMargins left="0.7" right="0.7" top="0.75" bottom="0.75" header="0.3" footer="0.3"/>
  <pageSetup scale="80" orientation="landscape" r:id="rId1"/>
  <headerFooter>
    <oddHeader>&amp;C&amp;36Cash Budgetting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view="pageBreakPreview" topLeftCell="B1" zoomScale="60" zoomScaleNormal="62" workbookViewId="0">
      <selection activeCell="W32" sqref="W32"/>
    </sheetView>
  </sheetViews>
  <sheetFormatPr defaultRowHeight="21" customHeight="1"/>
  <cols>
    <col min="1" max="1" width="19.6640625" style="88" bestFit="1" customWidth="1"/>
    <col min="2" max="2" width="95.1640625" style="88" bestFit="1" customWidth="1"/>
    <col min="3" max="3" width="27.33203125" style="88" hidden="1" customWidth="1"/>
    <col min="4" max="4" width="27.5" style="88" hidden="1" customWidth="1"/>
    <col min="5" max="11" width="9.33203125" style="88" hidden="1" customWidth="1"/>
    <col min="12" max="12" width="29.83203125" style="88" bestFit="1" customWidth="1"/>
    <col min="13" max="13" width="28.5" style="88" customWidth="1"/>
    <col min="14" max="14" width="29.1640625" style="88" hidden="1" customWidth="1"/>
    <col min="15" max="15" width="28.5" style="88" customWidth="1"/>
    <col min="16" max="16" width="38" style="255" bestFit="1" customWidth="1"/>
    <col min="17" max="17" width="23.5" style="255" bestFit="1" customWidth="1"/>
    <col min="18" max="18" width="23.33203125" style="255" bestFit="1" customWidth="1"/>
    <col min="19" max="16384" width="9.33203125" style="88"/>
  </cols>
  <sheetData>
    <row r="1" spans="1:18" ht="21" customHeight="1">
      <c r="A1" s="124" t="s">
        <v>39</v>
      </c>
      <c r="B1" s="191" t="s">
        <v>590</v>
      </c>
      <c r="C1" s="126"/>
      <c r="D1" s="126"/>
      <c r="E1" s="126"/>
      <c r="F1" s="126"/>
      <c r="G1" s="126"/>
      <c r="H1" s="126"/>
      <c r="I1" s="126"/>
      <c r="J1" s="126"/>
      <c r="K1" s="126"/>
      <c r="L1" s="191"/>
      <c r="M1" s="191"/>
      <c r="N1" s="191"/>
      <c r="O1" s="191"/>
      <c r="P1" s="250" t="s">
        <v>839</v>
      </c>
      <c r="Q1" s="250" t="s">
        <v>814</v>
      </c>
      <c r="R1" s="250" t="s">
        <v>56</v>
      </c>
    </row>
    <row r="2" spans="1:18" ht="21" customHeight="1">
      <c r="A2" s="124" t="s">
        <v>211</v>
      </c>
      <c r="B2" s="191" t="s">
        <v>137</v>
      </c>
      <c r="C2" s="126"/>
      <c r="D2" s="126"/>
      <c r="E2" s="126"/>
      <c r="F2" s="126"/>
      <c r="G2" s="126"/>
      <c r="H2" s="251"/>
      <c r="I2" s="251"/>
      <c r="J2" s="251" t="s">
        <v>151</v>
      </c>
      <c r="K2" s="251" t="s">
        <v>257</v>
      </c>
      <c r="L2" s="191" t="s">
        <v>440</v>
      </c>
      <c r="M2" s="191" t="s">
        <v>440</v>
      </c>
      <c r="N2" s="191" t="s">
        <v>806</v>
      </c>
      <c r="O2" s="191" t="s">
        <v>56</v>
      </c>
      <c r="P2" s="252">
        <v>2012</v>
      </c>
      <c r="Q2" s="252"/>
      <c r="R2" s="252"/>
    </row>
    <row r="3" spans="1:18" ht="21" customHeight="1">
      <c r="A3" s="124" t="s">
        <v>212</v>
      </c>
      <c r="B3" s="191" t="s">
        <v>213</v>
      </c>
      <c r="C3" s="126">
        <v>61545000</v>
      </c>
      <c r="D3" s="126">
        <v>74124000</v>
      </c>
      <c r="E3" s="126">
        <v>64128000</v>
      </c>
      <c r="F3" s="126">
        <v>72660000</v>
      </c>
      <c r="G3" s="126">
        <v>72660000</v>
      </c>
      <c r="H3" s="126">
        <f>72660000+42936000</f>
        <v>115596000</v>
      </c>
      <c r="I3" s="126">
        <f>150274800+4149600+13104000+3198000</f>
        <v>170726400</v>
      </c>
      <c r="J3" s="126"/>
      <c r="K3" s="126"/>
      <c r="L3" s="126"/>
      <c r="M3" s="126"/>
      <c r="N3" s="126"/>
      <c r="O3" s="126"/>
      <c r="P3" s="253"/>
      <c r="Q3" s="253"/>
      <c r="R3" s="253"/>
    </row>
    <row r="4" spans="1:18" ht="21" customHeight="1">
      <c r="A4" s="248" t="s">
        <v>210</v>
      </c>
      <c r="B4" s="126" t="s">
        <v>371</v>
      </c>
      <c r="C4" s="126">
        <v>1180900</v>
      </c>
      <c r="D4" s="126"/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305572400</v>
      </c>
      <c r="K4" s="126">
        <f>539449200+174686000+80800</f>
        <v>714216000</v>
      </c>
      <c r="L4" s="126">
        <v>636043200</v>
      </c>
      <c r="M4" s="126">
        <f>L4</f>
        <v>636043200</v>
      </c>
      <c r="N4" s="126">
        <v>632268000</v>
      </c>
      <c r="O4" s="126">
        <f>M4-L4</f>
        <v>0</v>
      </c>
      <c r="P4" s="253"/>
      <c r="Q4" s="253"/>
      <c r="R4" s="253"/>
    </row>
    <row r="5" spans="1:18" ht="21" customHeight="1">
      <c r="A5" s="248" t="s">
        <v>214</v>
      </c>
      <c r="B5" s="126" t="s">
        <v>607</v>
      </c>
      <c r="C5" s="126">
        <v>1123486000</v>
      </c>
      <c r="D5" s="126">
        <v>1227036000</v>
      </c>
      <c r="E5" s="126">
        <v>1192428000</v>
      </c>
      <c r="F5" s="126">
        <f>1935276000+1200000</f>
        <v>1936476000</v>
      </c>
      <c r="G5" s="126">
        <f>1936476000+600000000</f>
        <v>2536476000</v>
      </c>
      <c r="H5" s="126">
        <f>2529276000+54000000</f>
        <v>2583276000</v>
      </c>
      <c r="I5" s="126">
        <f>2530476000+4800000</f>
        <v>2535276000</v>
      </c>
      <c r="J5" s="126">
        <v>0</v>
      </c>
      <c r="K5" s="126">
        <v>61320000</v>
      </c>
      <c r="L5" s="126">
        <v>194520000</v>
      </c>
      <c r="M5" s="126">
        <f t="shared" ref="M5:N9" si="0">L5</f>
        <v>194520000</v>
      </c>
      <c r="N5" s="126">
        <v>158520000</v>
      </c>
      <c r="O5" s="126">
        <f t="shared" ref="O5:O58" si="1">M5-L5</f>
        <v>0</v>
      </c>
      <c r="P5" s="253"/>
      <c r="Q5" s="253"/>
      <c r="R5" s="253"/>
    </row>
    <row r="6" spans="1:18" ht="21" customHeight="1">
      <c r="A6" s="248" t="s">
        <v>215</v>
      </c>
      <c r="B6" s="126" t="s">
        <v>809</v>
      </c>
      <c r="C6" s="126"/>
      <c r="D6" s="126"/>
      <c r="E6" s="126"/>
      <c r="F6" s="126"/>
      <c r="G6" s="126"/>
      <c r="H6" s="126"/>
      <c r="I6" s="126"/>
      <c r="J6" s="126">
        <v>338400000</v>
      </c>
      <c r="K6" s="126">
        <v>828000000</v>
      </c>
      <c r="L6" s="126">
        <v>644400000</v>
      </c>
      <c r="M6" s="126">
        <f t="shared" si="0"/>
        <v>644400000</v>
      </c>
      <c r="N6" s="126">
        <v>622800000</v>
      </c>
      <c r="O6" s="126">
        <f t="shared" si="1"/>
        <v>0</v>
      </c>
      <c r="P6" s="253"/>
      <c r="Q6" s="253"/>
      <c r="R6" s="253"/>
    </row>
    <row r="7" spans="1:18" ht="21" customHeight="1">
      <c r="A7" s="248" t="s">
        <v>216</v>
      </c>
      <c r="B7" s="126" t="s">
        <v>526</v>
      </c>
      <c r="C7" s="126">
        <v>2500000</v>
      </c>
      <c r="D7" s="126">
        <v>2000000</v>
      </c>
      <c r="E7" s="126">
        <v>2000000</v>
      </c>
      <c r="F7" s="126">
        <v>2000000</v>
      </c>
      <c r="G7" s="126">
        <v>1600000</v>
      </c>
      <c r="H7" s="126">
        <v>41000000</v>
      </c>
      <c r="I7" s="126">
        <v>41000000</v>
      </c>
      <c r="J7" s="126">
        <v>0</v>
      </c>
      <c r="K7" s="126">
        <v>827864000</v>
      </c>
      <c r="L7" s="126">
        <f>K7</f>
        <v>827864000</v>
      </c>
      <c r="M7" s="126">
        <f t="shared" si="0"/>
        <v>827864000</v>
      </c>
      <c r="N7" s="126">
        <f t="shared" si="0"/>
        <v>827864000</v>
      </c>
      <c r="O7" s="126">
        <f t="shared" si="1"/>
        <v>0</v>
      </c>
      <c r="P7" s="253"/>
      <c r="Q7" s="253"/>
      <c r="R7" s="253"/>
    </row>
    <row r="8" spans="1:18" ht="21" customHeight="1">
      <c r="A8" s="124" t="s">
        <v>217</v>
      </c>
      <c r="B8" s="191" t="s">
        <v>218</v>
      </c>
      <c r="C8" s="126"/>
      <c r="D8" s="126"/>
      <c r="E8" s="126"/>
      <c r="F8" s="126"/>
      <c r="G8" s="126"/>
      <c r="H8" s="126"/>
      <c r="I8" s="126"/>
      <c r="J8" s="126">
        <v>0</v>
      </c>
      <c r="K8" s="126">
        <v>0</v>
      </c>
      <c r="L8" s="126">
        <v>0</v>
      </c>
      <c r="M8" s="126">
        <f t="shared" si="0"/>
        <v>0</v>
      </c>
      <c r="N8" s="126">
        <f t="shared" si="0"/>
        <v>0</v>
      </c>
      <c r="O8" s="126">
        <f t="shared" si="1"/>
        <v>0</v>
      </c>
      <c r="P8" s="253"/>
      <c r="Q8" s="253"/>
      <c r="R8" s="253"/>
    </row>
    <row r="9" spans="1:18" ht="21" customHeight="1">
      <c r="A9" s="248" t="s">
        <v>219</v>
      </c>
      <c r="B9" s="126" t="s">
        <v>369</v>
      </c>
      <c r="C9" s="126">
        <v>0</v>
      </c>
      <c r="D9" s="126">
        <v>0</v>
      </c>
      <c r="E9" s="126">
        <v>0</v>
      </c>
      <c r="F9" s="126">
        <v>0</v>
      </c>
      <c r="G9" s="126"/>
      <c r="H9" s="126">
        <v>0</v>
      </c>
      <c r="I9" s="126">
        <v>0</v>
      </c>
      <c r="J9" s="126">
        <v>0</v>
      </c>
      <c r="K9" s="126">
        <v>216000000</v>
      </c>
      <c r="L9" s="126">
        <v>238410000</v>
      </c>
      <c r="M9" s="126">
        <f t="shared" si="0"/>
        <v>238410000</v>
      </c>
      <c r="N9" s="126">
        <f t="shared" si="0"/>
        <v>238410000</v>
      </c>
      <c r="O9" s="126">
        <f t="shared" si="1"/>
        <v>0</v>
      </c>
      <c r="P9" s="253"/>
      <c r="Q9" s="253"/>
      <c r="R9" s="253"/>
    </row>
    <row r="10" spans="1:18" ht="21" customHeight="1">
      <c r="A10" s="248" t="s">
        <v>221</v>
      </c>
      <c r="B10" s="126" t="s">
        <v>180</v>
      </c>
      <c r="C10" s="126">
        <v>56250000</v>
      </c>
      <c r="D10" s="126">
        <v>65000000</v>
      </c>
      <c r="E10" s="126">
        <v>65000000</v>
      </c>
      <c r="F10" s="126">
        <v>65000000</v>
      </c>
      <c r="G10" s="126">
        <v>86788800</v>
      </c>
      <c r="H10" s="126">
        <v>141500000</v>
      </c>
      <c r="I10" s="126">
        <v>200000000</v>
      </c>
      <c r="J10" s="126">
        <v>6869200</v>
      </c>
      <c r="K10" s="126">
        <v>35612200</v>
      </c>
      <c r="L10" s="126">
        <v>0</v>
      </c>
      <c r="M10" s="126"/>
      <c r="N10" s="126">
        <f>M10</f>
        <v>0</v>
      </c>
      <c r="O10" s="126">
        <f t="shared" si="1"/>
        <v>0</v>
      </c>
      <c r="P10" s="253"/>
      <c r="Q10" s="253"/>
      <c r="R10" s="253"/>
    </row>
    <row r="11" spans="1:18" ht="21" customHeight="1">
      <c r="A11" s="248" t="s">
        <v>220</v>
      </c>
      <c r="B11" s="126" t="s">
        <v>223</v>
      </c>
      <c r="C11" s="126">
        <v>18000000</v>
      </c>
      <c r="D11" s="126">
        <f>25000000-2000000</f>
        <v>23000000</v>
      </c>
      <c r="E11" s="126">
        <v>23000000</v>
      </c>
      <c r="F11" s="126">
        <v>23000000</v>
      </c>
      <c r="G11" s="126">
        <v>18400000</v>
      </c>
      <c r="H11" s="126">
        <v>56000000</v>
      </c>
      <c r="I11" s="126">
        <v>100000000</v>
      </c>
      <c r="J11" s="126">
        <v>0</v>
      </c>
      <c r="K11" s="126">
        <v>0</v>
      </c>
      <c r="L11" s="126">
        <v>0</v>
      </c>
      <c r="M11" s="126"/>
      <c r="N11" s="126">
        <f>M11</f>
        <v>0</v>
      </c>
      <c r="O11" s="126">
        <f t="shared" si="1"/>
        <v>0</v>
      </c>
      <c r="P11" s="253"/>
      <c r="Q11" s="253"/>
      <c r="R11" s="253"/>
    </row>
    <row r="12" spans="1:18" ht="21" customHeight="1">
      <c r="A12" s="248"/>
      <c r="B12" s="191" t="s">
        <v>92</v>
      </c>
      <c r="C12" s="126">
        <v>11878000</v>
      </c>
      <c r="D12" s="126">
        <f>2000000+2000000</f>
        <v>4000000</v>
      </c>
      <c r="E12" s="126">
        <v>2000000</v>
      </c>
      <c r="F12" s="126">
        <v>2000000</v>
      </c>
      <c r="G12" s="126">
        <v>1600000</v>
      </c>
      <c r="H12" s="126">
        <v>30000000</v>
      </c>
      <c r="I12" s="126">
        <v>60000000</v>
      </c>
      <c r="J12" s="191">
        <f>SUM(J4:J11)</f>
        <v>650841600</v>
      </c>
      <c r="K12" s="191">
        <f>SUM(K4:K11)</f>
        <v>2683012200</v>
      </c>
      <c r="L12" s="191">
        <f>SUM(L4:L11)</f>
        <v>2541237200</v>
      </c>
      <c r="M12" s="191">
        <f>SUM(M4:M11)</f>
        <v>2541237200</v>
      </c>
      <c r="N12" s="191">
        <f>SUM(N4:N11)</f>
        <v>2479862000</v>
      </c>
      <c r="O12" s="191">
        <f t="shared" si="1"/>
        <v>0</v>
      </c>
      <c r="P12" s="253"/>
      <c r="Q12" s="253"/>
      <c r="R12" s="253"/>
    </row>
    <row r="13" spans="1:18" ht="21" customHeight="1">
      <c r="A13" s="124" t="s">
        <v>224</v>
      </c>
      <c r="B13" s="191" t="s">
        <v>225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200000000</v>
      </c>
      <c r="I13" s="126">
        <v>200000000</v>
      </c>
      <c r="J13" s="126"/>
      <c r="K13" s="126"/>
      <c r="L13" s="126"/>
      <c r="M13" s="126"/>
      <c r="N13" s="126"/>
      <c r="O13" s="126">
        <f t="shared" si="1"/>
        <v>0</v>
      </c>
      <c r="P13" s="253"/>
      <c r="Q13" s="253"/>
      <c r="R13" s="253"/>
    </row>
    <row r="14" spans="1:18" ht="21" customHeight="1">
      <c r="A14" s="124" t="s">
        <v>227</v>
      </c>
      <c r="B14" s="191" t="s">
        <v>226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>
        <f t="shared" si="1"/>
        <v>0</v>
      </c>
      <c r="P14" s="253"/>
      <c r="Q14" s="253"/>
      <c r="R14" s="253"/>
    </row>
    <row r="15" spans="1:18" ht="21" customHeight="1">
      <c r="A15" s="254" t="s">
        <v>228</v>
      </c>
      <c r="B15" s="247" t="s">
        <v>33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356850000</v>
      </c>
      <c r="I15" s="247">
        <v>0</v>
      </c>
      <c r="J15" s="247">
        <v>11479200</v>
      </c>
      <c r="K15" s="247">
        <f>39500000*70%</f>
        <v>27650000</v>
      </c>
      <c r="L15" s="247">
        <f>39500000*70%</f>
        <v>27650000</v>
      </c>
      <c r="M15" s="247">
        <v>17650000</v>
      </c>
      <c r="N15" s="247">
        <f>M15</f>
        <v>17650000</v>
      </c>
      <c r="O15" s="247">
        <f t="shared" si="1"/>
        <v>-10000000</v>
      </c>
      <c r="P15" s="253">
        <v>10000000</v>
      </c>
      <c r="Q15" s="253">
        <f>P15</f>
        <v>10000000</v>
      </c>
      <c r="R15" s="253">
        <f>Q15-P15</f>
        <v>0</v>
      </c>
    </row>
    <row r="16" spans="1:18" ht="21" customHeight="1">
      <c r="A16" s="254" t="s">
        <v>229</v>
      </c>
      <c r="B16" s="247" t="s">
        <v>124</v>
      </c>
      <c r="C16" s="247">
        <v>1500000</v>
      </c>
      <c r="D16" s="247">
        <v>5500000</v>
      </c>
      <c r="E16" s="247">
        <v>500000</v>
      </c>
      <c r="F16" s="247">
        <v>500000</v>
      </c>
      <c r="G16" s="247">
        <v>400000</v>
      </c>
      <c r="H16" s="247">
        <v>12000000</v>
      </c>
      <c r="I16" s="247">
        <v>20000000</v>
      </c>
      <c r="J16" s="247">
        <v>0</v>
      </c>
      <c r="K16" s="247">
        <f>693900000*70%</f>
        <v>485729999.99999994</v>
      </c>
      <c r="L16" s="247">
        <f>693900000*70%</f>
        <v>485729999.99999994</v>
      </c>
      <c r="M16" s="247">
        <v>335730000</v>
      </c>
      <c r="N16" s="247">
        <f>M16</f>
        <v>335730000</v>
      </c>
      <c r="O16" s="247">
        <f t="shared" si="1"/>
        <v>-149999999.99999994</v>
      </c>
      <c r="P16" s="253">
        <v>150000000</v>
      </c>
      <c r="Q16" s="253">
        <f t="shared" ref="Q16:Q56" si="2">P16</f>
        <v>150000000</v>
      </c>
      <c r="R16" s="253">
        <f t="shared" ref="R16:R58" si="3">Q16-P16</f>
        <v>0</v>
      </c>
    </row>
    <row r="17" spans="1:18" ht="21" customHeight="1">
      <c r="A17" s="254" t="s">
        <v>230</v>
      </c>
      <c r="B17" s="247" t="s">
        <v>125</v>
      </c>
      <c r="C17" s="247"/>
      <c r="D17" s="247"/>
      <c r="E17" s="247"/>
      <c r="F17" s="247"/>
      <c r="G17" s="247"/>
      <c r="H17" s="247"/>
      <c r="I17" s="247"/>
      <c r="J17" s="247">
        <v>8500000</v>
      </c>
      <c r="K17" s="247">
        <f>2340000000*70%</f>
        <v>1638000000</v>
      </c>
      <c r="L17" s="247">
        <f>K17</f>
        <v>1638000000</v>
      </c>
      <c r="M17" s="247">
        <v>1578000000</v>
      </c>
      <c r="N17" s="247">
        <v>1878000000</v>
      </c>
      <c r="O17" s="247">
        <f t="shared" si="1"/>
        <v>-60000000</v>
      </c>
      <c r="P17" s="253">
        <v>60000000</v>
      </c>
      <c r="Q17" s="253">
        <f t="shared" si="2"/>
        <v>60000000</v>
      </c>
      <c r="R17" s="253">
        <f t="shared" si="3"/>
        <v>0</v>
      </c>
    </row>
    <row r="18" spans="1:18" ht="21" customHeight="1">
      <c r="A18" s="254" t="s">
        <v>231</v>
      </c>
      <c r="B18" s="247" t="s">
        <v>157</v>
      </c>
      <c r="C18" s="247"/>
      <c r="D18" s="247"/>
      <c r="E18" s="247"/>
      <c r="F18" s="247"/>
      <c r="G18" s="247"/>
      <c r="H18" s="247"/>
      <c r="I18" s="247"/>
      <c r="J18" s="247">
        <v>32726886</v>
      </c>
      <c r="K18" s="247">
        <f>275160000*70%</f>
        <v>192612000</v>
      </c>
      <c r="L18" s="247">
        <f>275160000*70%</f>
        <v>192612000</v>
      </c>
      <c r="M18" s="247">
        <v>152612000</v>
      </c>
      <c r="N18" s="247">
        <f>M18</f>
        <v>152612000</v>
      </c>
      <c r="O18" s="247">
        <f t="shared" si="1"/>
        <v>-40000000</v>
      </c>
      <c r="P18" s="253">
        <v>40000000</v>
      </c>
      <c r="Q18" s="253">
        <f t="shared" si="2"/>
        <v>40000000</v>
      </c>
      <c r="R18" s="253">
        <f t="shared" si="3"/>
        <v>0</v>
      </c>
    </row>
    <row r="19" spans="1:18" ht="21" customHeight="1">
      <c r="A19" s="254" t="s">
        <v>232</v>
      </c>
      <c r="B19" s="247" t="s">
        <v>408</v>
      </c>
      <c r="C19" s="247"/>
      <c r="D19" s="247"/>
      <c r="E19" s="247"/>
      <c r="F19" s="247"/>
      <c r="G19" s="247"/>
      <c r="H19" s="247"/>
      <c r="I19" s="247"/>
      <c r="J19" s="247">
        <v>136500000</v>
      </c>
      <c r="K19" s="247">
        <f>136500000*70%+400000000</f>
        <v>495550000</v>
      </c>
      <c r="L19" s="247">
        <f>136500000*70%+400000000</f>
        <v>495550000</v>
      </c>
      <c r="M19" s="247">
        <f>L19</f>
        <v>495550000</v>
      </c>
      <c r="N19" s="247">
        <f>M19</f>
        <v>495550000</v>
      </c>
      <c r="O19" s="247">
        <f t="shared" si="1"/>
        <v>0</v>
      </c>
      <c r="P19" s="253">
        <v>0</v>
      </c>
      <c r="Q19" s="253">
        <f t="shared" si="2"/>
        <v>0</v>
      </c>
      <c r="R19" s="253">
        <f t="shared" si="3"/>
        <v>0</v>
      </c>
    </row>
    <row r="20" spans="1:18" ht="21" customHeight="1">
      <c r="A20" s="254" t="s">
        <v>233</v>
      </c>
      <c r="B20" s="247" t="s">
        <v>126</v>
      </c>
      <c r="C20" s="247">
        <v>2500000</v>
      </c>
      <c r="D20" s="247">
        <v>2000000</v>
      </c>
      <c r="E20" s="247">
        <v>2000000</v>
      </c>
      <c r="F20" s="247">
        <v>2000000</v>
      </c>
      <c r="G20" s="247">
        <v>1600000</v>
      </c>
      <c r="H20" s="247">
        <v>41000000</v>
      </c>
      <c r="I20" s="247">
        <v>41000000</v>
      </c>
      <c r="J20" s="247">
        <v>15735744</v>
      </c>
      <c r="K20" s="247">
        <f>40400000*70%</f>
        <v>28280000</v>
      </c>
      <c r="L20" s="247">
        <v>20000000</v>
      </c>
      <c r="M20" s="247">
        <f>L20</f>
        <v>20000000</v>
      </c>
      <c r="N20" s="247">
        <f>M20</f>
        <v>20000000</v>
      </c>
      <c r="O20" s="247">
        <f t="shared" si="1"/>
        <v>0</v>
      </c>
      <c r="P20" s="253">
        <v>0</v>
      </c>
      <c r="Q20" s="253">
        <f t="shared" si="2"/>
        <v>0</v>
      </c>
      <c r="R20" s="253">
        <f t="shared" si="3"/>
        <v>0</v>
      </c>
    </row>
    <row r="21" spans="1:18" ht="21" customHeight="1">
      <c r="A21" s="254" t="s">
        <v>234</v>
      </c>
      <c r="B21" s="247" t="s">
        <v>48</v>
      </c>
      <c r="C21" s="247">
        <f t="shared" ref="C21:I21" si="4">SUM(C15:C20)</f>
        <v>4000000</v>
      </c>
      <c r="D21" s="247">
        <f t="shared" si="4"/>
        <v>7500000</v>
      </c>
      <c r="E21" s="247">
        <f t="shared" si="4"/>
        <v>2500000</v>
      </c>
      <c r="F21" s="247">
        <f t="shared" si="4"/>
        <v>2500000</v>
      </c>
      <c r="G21" s="247">
        <f t="shared" si="4"/>
        <v>2000000</v>
      </c>
      <c r="H21" s="247">
        <f t="shared" si="4"/>
        <v>409850000</v>
      </c>
      <c r="I21" s="256">
        <f t="shared" si="4"/>
        <v>61000000</v>
      </c>
      <c r="J21" s="247">
        <v>19737600</v>
      </c>
      <c r="K21" s="247">
        <v>1447754000</v>
      </c>
      <c r="L21" s="247">
        <f>K21</f>
        <v>1447754000</v>
      </c>
      <c r="M21" s="247">
        <v>1247754000</v>
      </c>
      <c r="N21" s="247">
        <v>1547754000</v>
      </c>
      <c r="O21" s="247">
        <f t="shared" si="1"/>
        <v>-200000000</v>
      </c>
      <c r="P21" s="253">
        <v>200000000</v>
      </c>
      <c r="Q21" s="253">
        <f t="shared" si="2"/>
        <v>200000000</v>
      </c>
      <c r="R21" s="253">
        <f t="shared" si="3"/>
        <v>0</v>
      </c>
    </row>
    <row r="22" spans="1:18" ht="21" customHeight="1">
      <c r="A22" s="254" t="s">
        <v>235</v>
      </c>
      <c r="B22" s="247" t="s">
        <v>93</v>
      </c>
      <c r="C22" s="247"/>
      <c r="D22" s="247"/>
      <c r="E22" s="247"/>
      <c r="F22" s="247"/>
      <c r="G22" s="247"/>
      <c r="H22" s="247"/>
      <c r="I22" s="247"/>
      <c r="J22" s="247">
        <v>0</v>
      </c>
      <c r="K22" s="247">
        <v>2527600000</v>
      </c>
      <c r="L22" s="247">
        <f>K22</f>
        <v>2527600000</v>
      </c>
      <c r="M22" s="247">
        <v>2507600000</v>
      </c>
      <c r="N22" s="247">
        <v>3307600000</v>
      </c>
      <c r="O22" s="247">
        <f t="shared" si="1"/>
        <v>-20000000</v>
      </c>
      <c r="P22" s="253">
        <v>20000000</v>
      </c>
      <c r="Q22" s="253">
        <f t="shared" si="2"/>
        <v>20000000</v>
      </c>
      <c r="R22" s="253">
        <f t="shared" si="3"/>
        <v>0</v>
      </c>
    </row>
    <row r="23" spans="1:18" ht="21" customHeight="1">
      <c r="A23" s="254" t="s">
        <v>236</v>
      </c>
      <c r="B23" s="247" t="s">
        <v>136</v>
      </c>
      <c r="C23" s="247">
        <v>23000000</v>
      </c>
      <c r="D23" s="247">
        <v>15000000</v>
      </c>
      <c r="E23" s="247">
        <v>8949700</v>
      </c>
      <c r="F23" s="247">
        <v>8949700</v>
      </c>
      <c r="G23" s="247">
        <v>12000000</v>
      </c>
      <c r="H23" s="247">
        <v>80000000</v>
      </c>
      <c r="I23" s="247">
        <v>80000000</v>
      </c>
      <c r="J23" s="247">
        <v>25610000</v>
      </c>
      <c r="K23" s="247">
        <f>127605000*70%</f>
        <v>89323500</v>
      </c>
      <c r="L23" s="247">
        <f>127605000*70%</f>
        <v>89323500</v>
      </c>
      <c r="M23" s="247">
        <v>59323500</v>
      </c>
      <c r="N23" s="247">
        <f>M23</f>
        <v>59323500</v>
      </c>
      <c r="O23" s="247">
        <f t="shared" si="1"/>
        <v>-30000000</v>
      </c>
      <c r="P23" s="253">
        <v>30000000</v>
      </c>
      <c r="Q23" s="253">
        <f t="shared" si="2"/>
        <v>30000000</v>
      </c>
      <c r="R23" s="253">
        <f t="shared" si="3"/>
        <v>0</v>
      </c>
    </row>
    <row r="24" spans="1:18" ht="21" customHeight="1">
      <c r="A24" s="254" t="s">
        <v>237</v>
      </c>
      <c r="B24" s="247" t="s">
        <v>35</v>
      </c>
      <c r="C24" s="247">
        <v>10061000</v>
      </c>
      <c r="D24" s="247">
        <v>2000000</v>
      </c>
      <c r="E24" s="247">
        <v>0</v>
      </c>
      <c r="F24" s="247">
        <v>0</v>
      </c>
      <c r="G24" s="247">
        <v>0</v>
      </c>
      <c r="H24" s="247">
        <v>30000000</v>
      </c>
      <c r="I24" s="247">
        <v>40000000</v>
      </c>
      <c r="J24" s="247">
        <v>3038784</v>
      </c>
      <c r="K24" s="247">
        <v>70800000</v>
      </c>
      <c r="L24" s="247">
        <v>70800000</v>
      </c>
      <c r="M24" s="247">
        <f>L24</f>
        <v>70800000</v>
      </c>
      <c r="N24" s="247">
        <f>M24</f>
        <v>70800000</v>
      </c>
      <c r="O24" s="247">
        <f t="shared" si="1"/>
        <v>0</v>
      </c>
      <c r="P24" s="253">
        <v>0</v>
      </c>
      <c r="Q24" s="253">
        <f t="shared" si="2"/>
        <v>0</v>
      </c>
      <c r="R24" s="253">
        <f t="shared" si="3"/>
        <v>0</v>
      </c>
    </row>
    <row r="25" spans="1:18" ht="21" customHeight="1">
      <c r="A25" s="254" t="s">
        <v>377</v>
      </c>
      <c r="B25" s="247" t="s">
        <v>378</v>
      </c>
      <c r="C25" s="247"/>
      <c r="D25" s="247"/>
      <c r="E25" s="247"/>
      <c r="F25" s="247"/>
      <c r="G25" s="247"/>
      <c r="H25" s="247"/>
      <c r="I25" s="247"/>
      <c r="J25" s="247">
        <v>0</v>
      </c>
      <c r="K25" s="247">
        <f>315450000*70%</f>
        <v>220815000</v>
      </c>
      <c r="L25" s="247">
        <f>315450000*70%</f>
        <v>220815000</v>
      </c>
      <c r="M25" s="247">
        <f>L25</f>
        <v>220815000</v>
      </c>
      <c r="N25" s="247">
        <f>M25</f>
        <v>220815000</v>
      </c>
      <c r="O25" s="247">
        <f t="shared" si="1"/>
        <v>0</v>
      </c>
      <c r="P25" s="253">
        <v>0</v>
      </c>
      <c r="Q25" s="253">
        <f t="shared" si="2"/>
        <v>0</v>
      </c>
      <c r="R25" s="253">
        <f t="shared" si="3"/>
        <v>0</v>
      </c>
    </row>
    <row r="26" spans="1:18" ht="21" customHeight="1">
      <c r="A26" s="254" t="s">
        <v>283</v>
      </c>
      <c r="B26" s="247" t="s">
        <v>267</v>
      </c>
      <c r="C26" s="247"/>
      <c r="D26" s="247"/>
      <c r="E26" s="247"/>
      <c r="F26" s="247"/>
      <c r="G26" s="247"/>
      <c r="H26" s="247"/>
      <c r="I26" s="247"/>
      <c r="J26" s="247">
        <v>9256033256</v>
      </c>
      <c r="K26" s="247">
        <f>16005243233</f>
        <v>16005243233</v>
      </c>
      <c r="L26" s="247">
        <f>K26</f>
        <v>16005243233</v>
      </c>
      <c r="M26" s="247">
        <f>L26</f>
        <v>16005243233</v>
      </c>
      <c r="N26" s="247">
        <f>M26</f>
        <v>16005243233</v>
      </c>
      <c r="O26" s="247">
        <f t="shared" si="1"/>
        <v>0</v>
      </c>
      <c r="P26" s="253">
        <v>0</v>
      </c>
      <c r="Q26" s="253">
        <f t="shared" si="2"/>
        <v>0</v>
      </c>
      <c r="R26" s="253">
        <f t="shared" si="3"/>
        <v>0</v>
      </c>
    </row>
    <row r="27" spans="1:18" ht="21" customHeight="1">
      <c r="A27" s="254" t="s">
        <v>239</v>
      </c>
      <c r="B27" s="247" t="s">
        <v>187</v>
      </c>
      <c r="C27" s="247">
        <v>3000000</v>
      </c>
      <c r="D27" s="247">
        <v>1500000</v>
      </c>
      <c r="E27" s="247">
        <v>0</v>
      </c>
      <c r="F27" s="247">
        <v>0</v>
      </c>
      <c r="G27" s="247">
        <v>0</v>
      </c>
      <c r="H27" s="247">
        <v>15000000</v>
      </c>
      <c r="I27" s="247">
        <v>20000000</v>
      </c>
      <c r="J27" s="247">
        <v>1355821960</v>
      </c>
      <c r="K27" s="247">
        <v>2306215372</v>
      </c>
      <c r="L27" s="247">
        <v>2283805372</v>
      </c>
      <c r="M27" s="247">
        <v>2200785718</v>
      </c>
      <c r="N27" s="247">
        <f>M27</f>
        <v>2200785718</v>
      </c>
      <c r="O27" s="247">
        <f t="shared" si="1"/>
        <v>-83019654</v>
      </c>
      <c r="P27" s="253">
        <v>83019654</v>
      </c>
      <c r="Q27" s="253">
        <f t="shared" si="2"/>
        <v>83019654</v>
      </c>
      <c r="R27" s="253">
        <f t="shared" si="3"/>
        <v>0</v>
      </c>
    </row>
    <row r="28" spans="1:18" ht="21" customHeight="1">
      <c r="A28" s="254" t="s">
        <v>548</v>
      </c>
      <c r="B28" s="247" t="s">
        <v>549</v>
      </c>
      <c r="C28" s="247"/>
      <c r="D28" s="247"/>
      <c r="E28" s="247"/>
      <c r="F28" s="247"/>
      <c r="G28" s="247"/>
      <c r="H28" s="247"/>
      <c r="I28" s="247"/>
      <c r="J28" s="247"/>
      <c r="K28" s="247">
        <v>0</v>
      </c>
      <c r="L28" s="247">
        <v>200000000</v>
      </c>
      <c r="M28" s="247">
        <v>0</v>
      </c>
      <c r="N28" s="247">
        <v>0</v>
      </c>
      <c r="O28" s="247">
        <f t="shared" si="1"/>
        <v>-200000000</v>
      </c>
      <c r="P28" s="253">
        <v>0</v>
      </c>
      <c r="Q28" s="253">
        <f t="shared" si="2"/>
        <v>0</v>
      </c>
      <c r="R28" s="253">
        <f t="shared" si="3"/>
        <v>0</v>
      </c>
    </row>
    <row r="29" spans="1:18" ht="21" customHeight="1">
      <c r="A29" s="254" t="s">
        <v>822</v>
      </c>
      <c r="B29" s="247" t="s">
        <v>823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>
        <v>0</v>
      </c>
      <c r="N29" s="247">
        <v>0</v>
      </c>
      <c r="O29" s="247">
        <f t="shared" si="1"/>
        <v>0</v>
      </c>
      <c r="P29" s="253">
        <v>0</v>
      </c>
      <c r="Q29" s="253">
        <f t="shared" si="2"/>
        <v>0</v>
      </c>
      <c r="R29" s="253">
        <f t="shared" si="3"/>
        <v>0</v>
      </c>
    </row>
    <row r="30" spans="1:18" ht="21" customHeight="1">
      <c r="A30" s="254" t="s">
        <v>238</v>
      </c>
      <c r="B30" s="247" t="s">
        <v>567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40000000</v>
      </c>
      <c r="I30" s="247">
        <v>70000000</v>
      </c>
      <c r="J30" s="247">
        <v>0</v>
      </c>
      <c r="K30" s="247">
        <v>5100000000</v>
      </c>
      <c r="L30" s="247">
        <v>5900000000</v>
      </c>
      <c r="M30" s="247">
        <v>0</v>
      </c>
      <c r="N30" s="247">
        <v>0</v>
      </c>
      <c r="O30" s="247">
        <f t="shared" si="1"/>
        <v>-5900000000</v>
      </c>
      <c r="P30" s="253">
        <v>0</v>
      </c>
      <c r="Q30" s="253">
        <f t="shared" si="2"/>
        <v>0</v>
      </c>
      <c r="R30" s="253">
        <f t="shared" si="3"/>
        <v>0</v>
      </c>
    </row>
    <row r="31" spans="1:18" ht="21" customHeight="1">
      <c r="A31" s="254" t="s">
        <v>430</v>
      </c>
      <c r="B31" s="247" t="s">
        <v>509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>
        <v>0</v>
      </c>
      <c r="N31" s="247">
        <v>1000000000</v>
      </c>
      <c r="O31" s="247">
        <f t="shared" si="1"/>
        <v>0</v>
      </c>
      <c r="P31" s="253">
        <v>0</v>
      </c>
      <c r="Q31" s="253">
        <f t="shared" si="2"/>
        <v>0</v>
      </c>
      <c r="R31" s="253">
        <f t="shared" si="3"/>
        <v>0</v>
      </c>
    </row>
    <row r="32" spans="1:18" ht="21" customHeight="1">
      <c r="A32" s="254"/>
      <c r="B32" s="256" t="s">
        <v>92</v>
      </c>
      <c r="C32" s="247">
        <v>0</v>
      </c>
      <c r="D32" s="247">
        <v>0</v>
      </c>
      <c r="E32" s="247">
        <v>0</v>
      </c>
      <c r="F32" s="247">
        <v>0</v>
      </c>
      <c r="G32" s="247">
        <v>16000000</v>
      </c>
      <c r="H32" s="247">
        <v>360113000</v>
      </c>
      <c r="I32" s="247">
        <v>208212162</v>
      </c>
      <c r="J32" s="256">
        <f>SUM(J15:J30)</f>
        <v>10865183430</v>
      </c>
      <c r="K32" s="256">
        <f>SUM(K15:K30)</f>
        <v>30635573105</v>
      </c>
      <c r="L32" s="256">
        <f>SUM(L15:L30)</f>
        <v>31604883105</v>
      </c>
      <c r="M32" s="256">
        <f>SUM(M15:M31)</f>
        <v>24911863451</v>
      </c>
      <c r="N32" s="256">
        <f>SUM(N15:N31)</f>
        <v>27311863451</v>
      </c>
      <c r="O32" s="256">
        <f t="shared" si="1"/>
        <v>-6693019654</v>
      </c>
      <c r="P32" s="250">
        <f>SUM(P13:P31)</f>
        <v>593019654</v>
      </c>
      <c r="Q32" s="250">
        <f>P32</f>
        <v>593019654</v>
      </c>
      <c r="R32" s="253">
        <f t="shared" si="3"/>
        <v>0</v>
      </c>
    </row>
    <row r="33" spans="1:18" ht="21" customHeight="1">
      <c r="A33" s="257" t="s">
        <v>241</v>
      </c>
      <c r="B33" s="256" t="s">
        <v>240</v>
      </c>
      <c r="C33" s="247"/>
      <c r="D33" s="247"/>
      <c r="E33" s="247"/>
      <c r="F33" s="247"/>
      <c r="G33" s="247"/>
      <c r="H33" s="247"/>
      <c r="I33" s="247">
        <v>0</v>
      </c>
      <c r="J33" s="247"/>
      <c r="K33" s="247"/>
      <c r="L33" s="247"/>
      <c r="M33" s="247"/>
      <c r="N33" s="247"/>
      <c r="O33" s="247">
        <f t="shared" si="1"/>
        <v>0</v>
      </c>
      <c r="P33" s="253">
        <v>0</v>
      </c>
      <c r="Q33" s="253">
        <f t="shared" si="2"/>
        <v>0</v>
      </c>
      <c r="R33" s="253">
        <f t="shared" si="3"/>
        <v>0</v>
      </c>
    </row>
    <row r="34" spans="1:18" ht="21" customHeight="1">
      <c r="A34" s="254" t="s">
        <v>242</v>
      </c>
      <c r="B34" s="247" t="s">
        <v>132</v>
      </c>
      <c r="C34" s="256" t="e">
        <f>#REF!+#REF!+#REF!+#REF!+#REF!</f>
        <v>#REF!</v>
      </c>
      <c r="D34" s="256" t="e">
        <f>#REF!+#REF!+#REF!+#REF!+#REF!</f>
        <v>#REF!</v>
      </c>
      <c r="E34" s="256" t="e">
        <f>#REF!+#REF!+#REF!+#REF!+#REF!</f>
        <v>#REF!</v>
      </c>
      <c r="F34" s="256" t="e">
        <f>#REF!+#REF!+#REF!+#REF!+#REF!</f>
        <v>#REF!</v>
      </c>
      <c r="G34" s="256" t="e">
        <f>#REF!+#REF!+#REF!+#REF!+#REF!</f>
        <v>#REF!</v>
      </c>
      <c r="H34" s="256" t="e">
        <f>#REF!+#REF!+#REF!+#REF!+#REF!</f>
        <v>#REF!</v>
      </c>
      <c r="I34" s="256" t="e">
        <f>#REF!+#REF!+#REF!+#REF!+#REF!</f>
        <v>#REF!</v>
      </c>
      <c r="J34" s="247">
        <v>7800000</v>
      </c>
      <c r="K34" s="247">
        <f>7800000*70%</f>
        <v>5460000</v>
      </c>
      <c r="L34" s="247">
        <f>7800000*70%</f>
        <v>5460000</v>
      </c>
      <c r="M34" s="247">
        <f>L34</f>
        <v>5460000</v>
      </c>
      <c r="N34" s="247">
        <f>M34</f>
        <v>5460000</v>
      </c>
      <c r="O34" s="247">
        <f t="shared" si="1"/>
        <v>0</v>
      </c>
      <c r="P34" s="253">
        <v>0</v>
      </c>
      <c r="Q34" s="253">
        <f t="shared" si="2"/>
        <v>0</v>
      </c>
      <c r="R34" s="253">
        <f t="shared" si="3"/>
        <v>0</v>
      </c>
    </row>
    <row r="35" spans="1:18" ht="21" customHeight="1">
      <c r="A35" s="254" t="s">
        <v>243</v>
      </c>
      <c r="B35" s="247" t="s">
        <v>133</v>
      </c>
      <c r="C35" s="258"/>
      <c r="D35" s="258"/>
      <c r="E35" s="258"/>
      <c r="F35" s="259">
        <v>0</v>
      </c>
      <c r="G35" s="259" t="s">
        <v>4</v>
      </c>
      <c r="H35" s="259"/>
      <c r="I35" s="259"/>
      <c r="J35" s="247">
        <v>660119248</v>
      </c>
      <c r="K35" s="247">
        <v>1334950874</v>
      </c>
      <c r="L35" s="247">
        <f>K35</f>
        <v>1334950874</v>
      </c>
      <c r="M35" s="247">
        <v>1134950874</v>
      </c>
      <c r="N35" s="247">
        <f>M35</f>
        <v>1134950874</v>
      </c>
      <c r="O35" s="247">
        <f t="shared" si="1"/>
        <v>-200000000</v>
      </c>
      <c r="P35" s="253">
        <v>200000000</v>
      </c>
      <c r="Q35" s="253">
        <f t="shared" si="2"/>
        <v>200000000</v>
      </c>
      <c r="R35" s="253">
        <f t="shared" si="3"/>
        <v>0</v>
      </c>
    </row>
    <row r="36" spans="1:18" ht="21" customHeight="1">
      <c r="A36" s="254" t="s">
        <v>244</v>
      </c>
      <c r="B36" s="247" t="s">
        <v>127</v>
      </c>
      <c r="C36" s="258"/>
      <c r="D36" s="258"/>
      <c r="E36" s="258"/>
      <c r="F36" s="259"/>
      <c r="G36" s="259"/>
      <c r="H36" s="259"/>
      <c r="I36" s="259"/>
      <c r="J36" s="247">
        <v>38304400</v>
      </c>
      <c r="K36" s="247">
        <v>120715500</v>
      </c>
      <c r="L36" s="247">
        <v>120715500</v>
      </c>
      <c r="M36" s="247">
        <v>107715500</v>
      </c>
      <c r="N36" s="247">
        <f>M36</f>
        <v>107715500</v>
      </c>
      <c r="O36" s="247">
        <f t="shared" si="1"/>
        <v>-13000000</v>
      </c>
      <c r="P36" s="253">
        <v>13000000</v>
      </c>
      <c r="Q36" s="253">
        <f t="shared" si="2"/>
        <v>13000000</v>
      </c>
      <c r="R36" s="253">
        <f t="shared" si="3"/>
        <v>0</v>
      </c>
    </row>
    <row r="37" spans="1:18" ht="21" customHeight="1">
      <c r="A37" s="254" t="s">
        <v>245</v>
      </c>
      <c r="B37" s="247" t="s">
        <v>128</v>
      </c>
      <c r="C37" s="247"/>
      <c r="D37" s="247"/>
      <c r="E37" s="247"/>
      <c r="F37" s="247"/>
      <c r="G37" s="247"/>
      <c r="H37" s="247"/>
      <c r="I37" s="247"/>
      <c r="J37" s="247">
        <v>6017984</v>
      </c>
      <c r="K37" s="247">
        <f>72185000*70%</f>
        <v>50529500</v>
      </c>
      <c r="L37" s="247">
        <f>72185000*70%</f>
        <v>50529500</v>
      </c>
      <c r="M37" s="247">
        <v>44529500</v>
      </c>
      <c r="N37" s="247">
        <f>M37</f>
        <v>44529500</v>
      </c>
      <c r="O37" s="247">
        <f t="shared" si="1"/>
        <v>-6000000</v>
      </c>
      <c r="P37" s="253">
        <v>6000000</v>
      </c>
      <c r="Q37" s="253">
        <f t="shared" si="2"/>
        <v>6000000</v>
      </c>
      <c r="R37" s="253">
        <f t="shared" si="3"/>
        <v>0</v>
      </c>
    </row>
    <row r="38" spans="1:18" ht="21" customHeight="1">
      <c r="A38" s="254" t="s">
        <v>246</v>
      </c>
      <c r="B38" s="247" t="s">
        <v>134</v>
      </c>
      <c r="C38" s="247">
        <v>4000000</v>
      </c>
      <c r="D38" s="247">
        <v>2000000</v>
      </c>
      <c r="E38" s="247">
        <v>0</v>
      </c>
      <c r="F38" s="247">
        <v>0</v>
      </c>
      <c r="G38" s="247">
        <v>0</v>
      </c>
      <c r="H38" s="247">
        <v>200000000</v>
      </c>
      <c r="I38" s="247">
        <v>200000000</v>
      </c>
      <c r="J38" s="247">
        <v>0</v>
      </c>
      <c r="K38" s="247">
        <v>0</v>
      </c>
      <c r="L38" s="247">
        <v>0</v>
      </c>
      <c r="M38" s="247">
        <f>L38</f>
        <v>0</v>
      </c>
      <c r="N38" s="247">
        <f>M38</f>
        <v>0</v>
      </c>
      <c r="O38" s="247">
        <f t="shared" si="1"/>
        <v>0</v>
      </c>
      <c r="P38" s="253">
        <v>0</v>
      </c>
      <c r="Q38" s="253">
        <f t="shared" si="2"/>
        <v>0</v>
      </c>
      <c r="R38" s="253">
        <f t="shared" si="3"/>
        <v>0</v>
      </c>
    </row>
    <row r="39" spans="1:18" ht="21" customHeight="1">
      <c r="A39" s="254" t="s">
        <v>258</v>
      </c>
      <c r="B39" s="247" t="s">
        <v>188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7">
        <v>150000000</v>
      </c>
      <c r="I39" s="247">
        <v>150000000</v>
      </c>
      <c r="J39" s="247">
        <v>21501800</v>
      </c>
      <c r="K39" s="247">
        <f>1385605000*70%</f>
        <v>969923499.99999988</v>
      </c>
      <c r="L39" s="247">
        <v>300000000</v>
      </c>
      <c r="M39" s="247">
        <v>280000000</v>
      </c>
      <c r="N39" s="247">
        <f>M39</f>
        <v>280000000</v>
      </c>
      <c r="O39" s="247">
        <f t="shared" si="1"/>
        <v>-20000000</v>
      </c>
      <c r="P39" s="253">
        <v>20000000</v>
      </c>
      <c r="Q39" s="253">
        <f t="shared" si="2"/>
        <v>20000000</v>
      </c>
      <c r="R39" s="253">
        <f t="shared" si="3"/>
        <v>0</v>
      </c>
    </row>
    <row r="40" spans="1:18" ht="21" customHeight="1">
      <c r="A40" s="254"/>
      <c r="B40" s="256" t="s">
        <v>92</v>
      </c>
      <c r="C40" s="247">
        <v>10089000</v>
      </c>
      <c r="D40" s="247">
        <v>10004000</v>
      </c>
      <c r="E40" s="247">
        <v>20004000</v>
      </c>
      <c r="F40" s="247">
        <v>20004000</v>
      </c>
      <c r="G40" s="247">
        <v>40003200</v>
      </c>
      <c r="H40" s="247">
        <v>100000000</v>
      </c>
      <c r="I40" s="247">
        <v>100000000</v>
      </c>
      <c r="J40" s="256">
        <f>SUM(J34:J39)</f>
        <v>733743432</v>
      </c>
      <c r="K40" s="256">
        <f>SUM(K34:K39)</f>
        <v>2481579374</v>
      </c>
      <c r="L40" s="256">
        <f>SUM(L34:L39)</f>
        <v>1811655874</v>
      </c>
      <c r="M40" s="256">
        <f>SUM(M34:M39)</f>
        <v>1572655874</v>
      </c>
      <c r="N40" s="256">
        <f>SUM(N34:N39)</f>
        <v>1572655874</v>
      </c>
      <c r="O40" s="256">
        <f t="shared" si="1"/>
        <v>-239000000</v>
      </c>
      <c r="P40" s="250">
        <f>SUM(P33:P39)</f>
        <v>239000000</v>
      </c>
      <c r="Q40" s="250">
        <f t="shared" si="2"/>
        <v>239000000</v>
      </c>
      <c r="R40" s="253">
        <f t="shared" si="3"/>
        <v>0</v>
      </c>
    </row>
    <row r="41" spans="1:18" ht="21" customHeight="1">
      <c r="A41" s="257" t="s">
        <v>247</v>
      </c>
      <c r="B41" s="256" t="s">
        <v>130</v>
      </c>
      <c r="C41" s="247">
        <v>0</v>
      </c>
      <c r="D41" s="247">
        <v>0</v>
      </c>
      <c r="E41" s="247">
        <v>0</v>
      </c>
      <c r="F41" s="247">
        <v>0</v>
      </c>
      <c r="G41" s="247">
        <v>0</v>
      </c>
      <c r="H41" s="247">
        <v>616200000</v>
      </c>
      <c r="I41" s="247">
        <v>616200000</v>
      </c>
      <c r="J41" s="247"/>
      <c r="K41" s="247"/>
      <c r="L41" s="247"/>
      <c r="M41" s="247"/>
      <c r="N41" s="247"/>
      <c r="O41" s="247">
        <f t="shared" si="1"/>
        <v>0</v>
      </c>
      <c r="P41" s="253">
        <v>0</v>
      </c>
      <c r="Q41" s="253">
        <f t="shared" si="2"/>
        <v>0</v>
      </c>
      <c r="R41" s="253">
        <f t="shared" si="3"/>
        <v>0</v>
      </c>
    </row>
    <row r="42" spans="1:18" ht="21" customHeight="1">
      <c r="A42" s="254" t="s">
        <v>248</v>
      </c>
      <c r="B42" s="247" t="s">
        <v>49</v>
      </c>
      <c r="C42" s="247">
        <v>13333000</v>
      </c>
      <c r="D42" s="247">
        <v>5000000</v>
      </c>
      <c r="E42" s="247">
        <v>0</v>
      </c>
      <c r="F42" s="247">
        <v>0</v>
      </c>
      <c r="G42" s="247">
        <v>0</v>
      </c>
      <c r="H42" s="247">
        <v>100000000</v>
      </c>
      <c r="I42" s="247">
        <v>70000000</v>
      </c>
      <c r="J42" s="247">
        <v>59340500</v>
      </c>
      <c r="K42" s="247">
        <v>117060845</v>
      </c>
      <c r="L42" s="247">
        <v>117060845</v>
      </c>
      <c r="M42" s="247">
        <v>87060845</v>
      </c>
      <c r="N42" s="247">
        <f>M42</f>
        <v>87060845</v>
      </c>
      <c r="O42" s="247">
        <f t="shared" si="1"/>
        <v>-30000000</v>
      </c>
      <c r="P42" s="253">
        <v>30000000</v>
      </c>
      <c r="Q42" s="253">
        <f t="shared" si="2"/>
        <v>30000000</v>
      </c>
      <c r="R42" s="253">
        <f t="shared" si="3"/>
        <v>0</v>
      </c>
    </row>
    <row r="43" spans="1:18" ht="21" customHeight="1">
      <c r="A43" s="254" t="s">
        <v>250</v>
      </c>
      <c r="B43" s="247" t="s">
        <v>249</v>
      </c>
      <c r="C43" s="247">
        <v>0</v>
      </c>
      <c r="D43" s="247">
        <v>0</v>
      </c>
      <c r="E43" s="247">
        <v>0</v>
      </c>
      <c r="F43" s="247">
        <v>0</v>
      </c>
      <c r="G43" s="247">
        <v>0</v>
      </c>
      <c r="H43" s="247">
        <v>0</v>
      </c>
      <c r="I43" s="247">
        <v>0</v>
      </c>
      <c r="J43" s="247">
        <v>4424000</v>
      </c>
      <c r="K43" s="247">
        <f>36424000*70%</f>
        <v>25496800</v>
      </c>
      <c r="L43" s="247">
        <f>36424000*70%</f>
        <v>25496800</v>
      </c>
      <c r="M43" s="247">
        <v>9496800</v>
      </c>
      <c r="N43" s="247">
        <f>M43</f>
        <v>9496800</v>
      </c>
      <c r="O43" s="247">
        <f t="shared" si="1"/>
        <v>-16000000</v>
      </c>
      <c r="P43" s="253">
        <v>16000000</v>
      </c>
      <c r="Q43" s="253">
        <f t="shared" si="2"/>
        <v>16000000</v>
      </c>
      <c r="R43" s="253">
        <f t="shared" si="3"/>
        <v>0</v>
      </c>
    </row>
    <row r="44" spans="1:18" ht="21" customHeight="1">
      <c r="A44" s="254"/>
      <c r="B44" s="256" t="s">
        <v>92</v>
      </c>
      <c r="C44" s="256" t="e">
        <f>#REF!+#REF!+C37+C21+#REF!</f>
        <v>#REF!</v>
      </c>
      <c r="D44" s="256" t="e">
        <f>#REF!+#REF!+D37+D21+#REF!</f>
        <v>#REF!</v>
      </c>
      <c r="E44" s="256" t="e">
        <f>#REF!+#REF!+E37+E21+#REF!</f>
        <v>#REF!</v>
      </c>
      <c r="F44" s="256" t="e">
        <f>#REF!+#REF!+F37+F21+#REF!</f>
        <v>#REF!</v>
      </c>
      <c r="G44" s="256" t="e">
        <f>#REF!+#REF!+G21+G37+#REF!</f>
        <v>#REF!</v>
      </c>
      <c r="H44" s="256" t="e">
        <f>#REF!+#REF!+H37+H21+#REF!</f>
        <v>#REF!</v>
      </c>
      <c r="I44" s="256" t="e">
        <f>#REF!+#REF!+I37+I21+#REF!</f>
        <v>#REF!</v>
      </c>
      <c r="J44" s="256">
        <f>SUM(J42:J43)</f>
        <v>63764500</v>
      </c>
      <c r="K44" s="256">
        <f>SUM(K42:K43)</f>
        <v>142557645</v>
      </c>
      <c r="L44" s="256">
        <f>SUM(L42:L43)</f>
        <v>142557645</v>
      </c>
      <c r="M44" s="256">
        <f>SUM(M42:M43)</f>
        <v>96557645</v>
      </c>
      <c r="N44" s="256">
        <f>SUM(N42:N43)</f>
        <v>96557645</v>
      </c>
      <c r="O44" s="256">
        <f t="shared" si="1"/>
        <v>-46000000</v>
      </c>
      <c r="P44" s="250">
        <f>SUM(P41:P43)</f>
        <v>46000000</v>
      </c>
      <c r="Q44" s="250">
        <f t="shared" si="2"/>
        <v>46000000</v>
      </c>
      <c r="R44" s="253">
        <f t="shared" si="3"/>
        <v>0</v>
      </c>
    </row>
    <row r="45" spans="1:18" ht="21" customHeight="1">
      <c r="A45" s="257" t="s">
        <v>254</v>
      </c>
      <c r="B45" s="256" t="s">
        <v>253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>
        <f t="shared" si="1"/>
        <v>0</v>
      </c>
      <c r="P45" s="253">
        <v>0</v>
      </c>
      <c r="Q45" s="253">
        <f t="shared" si="2"/>
        <v>0</v>
      </c>
      <c r="R45" s="253">
        <f t="shared" si="3"/>
        <v>0</v>
      </c>
    </row>
    <row r="46" spans="1:18" ht="21" customHeight="1">
      <c r="A46" s="257" t="s">
        <v>255</v>
      </c>
      <c r="B46" s="256" t="s">
        <v>252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>
        <f t="shared" si="1"/>
        <v>0</v>
      </c>
      <c r="P46" s="253">
        <v>0</v>
      </c>
      <c r="Q46" s="253">
        <f t="shared" si="2"/>
        <v>0</v>
      </c>
      <c r="R46" s="253">
        <f t="shared" si="3"/>
        <v>0</v>
      </c>
    </row>
    <row r="47" spans="1:18" ht="21" customHeight="1">
      <c r="A47" s="254" t="s">
        <v>310</v>
      </c>
      <c r="B47" s="247" t="s">
        <v>264</v>
      </c>
      <c r="C47" s="247"/>
      <c r="D47" s="247"/>
      <c r="E47" s="247"/>
      <c r="F47" s="247"/>
      <c r="G47" s="247"/>
      <c r="H47" s="247"/>
      <c r="I47" s="247"/>
      <c r="J47" s="247">
        <v>7480000</v>
      </c>
      <c r="K47" s="247">
        <f>146040000*70%</f>
        <v>102228000</v>
      </c>
      <c r="L47" s="247">
        <f>K47</f>
        <v>102228000</v>
      </c>
      <c r="M47" s="247">
        <v>90228000</v>
      </c>
      <c r="N47" s="247">
        <f>M47</f>
        <v>90228000</v>
      </c>
      <c r="O47" s="247">
        <f t="shared" si="1"/>
        <v>-12000000</v>
      </c>
      <c r="P47" s="253">
        <v>12000000</v>
      </c>
      <c r="Q47" s="253">
        <f t="shared" si="2"/>
        <v>12000000</v>
      </c>
      <c r="R47" s="253">
        <f t="shared" si="3"/>
        <v>0</v>
      </c>
    </row>
    <row r="48" spans="1:18" ht="21" customHeight="1">
      <c r="A48" s="254" t="s">
        <v>309</v>
      </c>
      <c r="B48" s="247" t="s">
        <v>500</v>
      </c>
      <c r="C48" s="247"/>
      <c r="D48" s="247"/>
      <c r="E48" s="247"/>
      <c r="F48" s="247"/>
      <c r="G48" s="247"/>
      <c r="H48" s="247"/>
      <c r="I48" s="247"/>
      <c r="J48" s="247">
        <v>524149920</v>
      </c>
      <c r="K48" s="247">
        <v>599475000</v>
      </c>
      <c r="L48" s="247">
        <v>126000000</v>
      </c>
      <c r="M48" s="247">
        <v>0</v>
      </c>
      <c r="N48" s="247">
        <v>240000000</v>
      </c>
      <c r="O48" s="247">
        <f t="shared" si="1"/>
        <v>-126000000</v>
      </c>
      <c r="P48" s="253">
        <v>0</v>
      </c>
      <c r="Q48" s="253">
        <f t="shared" si="2"/>
        <v>0</v>
      </c>
      <c r="R48" s="253">
        <f t="shared" si="3"/>
        <v>0</v>
      </c>
    </row>
    <row r="49" spans="1:18" ht="21" customHeight="1">
      <c r="A49" s="254" t="s">
        <v>256</v>
      </c>
      <c r="B49" s="247" t="s">
        <v>148</v>
      </c>
      <c r="C49" s="247"/>
      <c r="D49" s="247"/>
      <c r="E49" s="247"/>
      <c r="F49" s="247"/>
      <c r="G49" s="247"/>
      <c r="H49" s="247"/>
      <c r="I49" s="247"/>
      <c r="J49" s="247">
        <v>0</v>
      </c>
      <c r="K49" s="247">
        <f>40085000*70%</f>
        <v>28059500</v>
      </c>
      <c r="L49" s="247">
        <f>K49</f>
        <v>28059500</v>
      </c>
      <c r="M49" s="247">
        <f>L49</f>
        <v>28059500</v>
      </c>
      <c r="N49" s="247">
        <f>M49</f>
        <v>28059500</v>
      </c>
      <c r="O49" s="247">
        <f t="shared" si="1"/>
        <v>0</v>
      </c>
      <c r="P49" s="253">
        <v>0</v>
      </c>
      <c r="Q49" s="253">
        <f t="shared" si="2"/>
        <v>0</v>
      </c>
      <c r="R49" s="253">
        <f t="shared" si="3"/>
        <v>0</v>
      </c>
    </row>
    <row r="50" spans="1:18" ht="21" customHeight="1">
      <c r="A50" s="254" t="s">
        <v>406</v>
      </c>
      <c r="B50" s="247" t="s">
        <v>407</v>
      </c>
      <c r="C50" s="247"/>
      <c r="D50" s="247"/>
      <c r="E50" s="247"/>
      <c r="F50" s="247"/>
      <c r="G50" s="247"/>
      <c r="H50" s="247"/>
      <c r="I50" s="247"/>
      <c r="J50" s="247">
        <v>0</v>
      </c>
      <c r="K50" s="247">
        <f>14085000*70%</f>
        <v>9859500</v>
      </c>
      <c r="L50" s="247">
        <f>K50</f>
        <v>9859500</v>
      </c>
      <c r="M50" s="247">
        <v>0</v>
      </c>
      <c r="N50" s="247">
        <f>M50</f>
        <v>0</v>
      </c>
      <c r="O50" s="247">
        <f t="shared" si="1"/>
        <v>-9859500</v>
      </c>
      <c r="P50" s="253">
        <v>9859500</v>
      </c>
      <c r="Q50" s="253">
        <f t="shared" si="2"/>
        <v>9859500</v>
      </c>
      <c r="R50" s="253">
        <f t="shared" si="3"/>
        <v>0</v>
      </c>
    </row>
    <row r="51" spans="1:18" ht="21" customHeight="1">
      <c r="A51" s="254"/>
      <c r="B51" s="256" t="s">
        <v>92</v>
      </c>
      <c r="C51" s="247"/>
      <c r="D51" s="247"/>
      <c r="E51" s="247"/>
      <c r="F51" s="247"/>
      <c r="G51" s="247"/>
      <c r="H51" s="247"/>
      <c r="I51" s="247"/>
      <c r="J51" s="256">
        <f>SUM(J47:J50)</f>
        <v>531629920</v>
      </c>
      <c r="K51" s="256">
        <f>SUM(K47:K50)</f>
        <v>739622000</v>
      </c>
      <c r="L51" s="256">
        <f>SUM(L47:L50)</f>
        <v>266147000</v>
      </c>
      <c r="M51" s="256">
        <f>SUM(M47:M50)</f>
        <v>118287500</v>
      </c>
      <c r="N51" s="256">
        <f>SUM(N47:N50)</f>
        <v>358287500</v>
      </c>
      <c r="O51" s="256">
        <f t="shared" si="1"/>
        <v>-147859500</v>
      </c>
      <c r="P51" s="250">
        <f>SUM(P45:P50)</f>
        <v>21859500</v>
      </c>
      <c r="Q51" s="250">
        <f t="shared" si="2"/>
        <v>21859500</v>
      </c>
      <c r="R51" s="253">
        <f t="shared" si="3"/>
        <v>0</v>
      </c>
    </row>
    <row r="52" spans="1:18" ht="21" customHeight="1">
      <c r="A52" s="260" t="s">
        <v>425</v>
      </c>
      <c r="B52" s="261" t="s">
        <v>426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>
        <f t="shared" si="1"/>
        <v>0</v>
      </c>
      <c r="P52" s="253">
        <v>0</v>
      </c>
      <c r="Q52" s="253">
        <f t="shared" si="2"/>
        <v>0</v>
      </c>
      <c r="R52" s="253">
        <f t="shared" si="3"/>
        <v>0</v>
      </c>
    </row>
    <row r="53" spans="1:18" ht="21" customHeight="1">
      <c r="A53" s="254" t="s">
        <v>340</v>
      </c>
      <c r="B53" s="247" t="s">
        <v>422</v>
      </c>
      <c r="C53" s="247"/>
      <c r="D53" s="247"/>
      <c r="E53" s="247"/>
      <c r="F53" s="247"/>
      <c r="G53" s="247"/>
      <c r="H53" s="247"/>
      <c r="I53" s="247"/>
      <c r="J53" s="247">
        <v>350400000</v>
      </c>
      <c r="K53" s="247">
        <f>350400000*70%</f>
        <v>245279999.99999997</v>
      </c>
      <c r="L53" s="247">
        <v>400000000</v>
      </c>
      <c r="M53" s="247">
        <v>0</v>
      </c>
      <c r="N53" s="247">
        <v>0</v>
      </c>
      <c r="O53" s="247">
        <f t="shared" si="1"/>
        <v>-400000000</v>
      </c>
      <c r="P53" s="253">
        <v>0</v>
      </c>
      <c r="Q53" s="253">
        <f t="shared" si="2"/>
        <v>0</v>
      </c>
      <c r="R53" s="253">
        <f t="shared" si="3"/>
        <v>0</v>
      </c>
    </row>
    <row r="54" spans="1:18" ht="21" customHeight="1">
      <c r="A54" s="254"/>
      <c r="B54" s="256" t="s">
        <v>92</v>
      </c>
      <c r="C54" s="247"/>
      <c r="D54" s="247"/>
      <c r="E54" s="247"/>
      <c r="F54" s="247"/>
      <c r="G54" s="247"/>
      <c r="H54" s="247"/>
      <c r="I54" s="247"/>
      <c r="J54" s="256">
        <f>SUM(J53)</f>
        <v>350400000</v>
      </c>
      <c r="K54" s="256">
        <f>SUM(K53)</f>
        <v>245279999.99999997</v>
      </c>
      <c r="L54" s="256">
        <f>SUM(L53:L53)</f>
        <v>400000000</v>
      </c>
      <c r="M54" s="256">
        <f>SUM(M53)</f>
        <v>0</v>
      </c>
      <c r="N54" s="256">
        <f>SUM(N53)</f>
        <v>0</v>
      </c>
      <c r="O54" s="256">
        <f t="shared" si="1"/>
        <v>-400000000</v>
      </c>
      <c r="P54" s="253">
        <v>0</v>
      </c>
      <c r="Q54" s="253">
        <f t="shared" si="2"/>
        <v>0</v>
      </c>
      <c r="R54" s="253">
        <f t="shared" si="3"/>
        <v>0</v>
      </c>
    </row>
    <row r="55" spans="1:18" ht="21" customHeight="1">
      <c r="A55" s="262" t="s">
        <v>280</v>
      </c>
      <c r="B55" s="263" t="s">
        <v>469</v>
      </c>
      <c r="C55" s="264"/>
      <c r="D55" s="264"/>
      <c r="E55" s="264"/>
      <c r="F55" s="264"/>
      <c r="G55" s="264"/>
      <c r="H55" s="264"/>
      <c r="I55" s="264"/>
      <c r="J55" s="263"/>
      <c r="K55" s="263"/>
      <c r="L55" s="263"/>
      <c r="M55" s="263"/>
      <c r="N55" s="263"/>
      <c r="O55" s="263">
        <f t="shared" si="1"/>
        <v>0</v>
      </c>
      <c r="P55" s="253">
        <v>0</v>
      </c>
      <c r="Q55" s="253">
        <f t="shared" si="2"/>
        <v>0</v>
      </c>
      <c r="R55" s="253">
        <f t="shared" si="3"/>
        <v>0</v>
      </c>
    </row>
    <row r="56" spans="1:18" ht="21" customHeight="1">
      <c r="A56" s="262" t="s">
        <v>346</v>
      </c>
      <c r="B56" s="264" t="s">
        <v>508</v>
      </c>
      <c r="C56" s="264"/>
      <c r="D56" s="264"/>
      <c r="E56" s="264"/>
      <c r="F56" s="264"/>
      <c r="G56" s="264"/>
      <c r="H56" s="264"/>
      <c r="I56" s="264"/>
      <c r="J56" s="263"/>
      <c r="K56" s="263">
        <v>0</v>
      </c>
      <c r="L56" s="264">
        <v>900000000</v>
      </c>
      <c r="M56" s="264">
        <v>0</v>
      </c>
      <c r="N56" s="264">
        <v>0</v>
      </c>
      <c r="O56" s="264">
        <f t="shared" si="1"/>
        <v>-900000000</v>
      </c>
      <c r="P56" s="253">
        <v>900000000</v>
      </c>
      <c r="Q56" s="253">
        <f t="shared" si="2"/>
        <v>900000000</v>
      </c>
      <c r="R56" s="253">
        <f t="shared" si="3"/>
        <v>0</v>
      </c>
    </row>
    <row r="57" spans="1:18" ht="21" customHeight="1">
      <c r="A57" s="262"/>
      <c r="B57" s="264" t="s">
        <v>92</v>
      </c>
      <c r="C57" s="264"/>
      <c r="D57" s="264"/>
      <c r="E57" s="264"/>
      <c r="F57" s="264"/>
      <c r="G57" s="264"/>
      <c r="H57" s="264"/>
      <c r="I57" s="264"/>
      <c r="J57" s="263"/>
      <c r="K57" s="263">
        <v>0</v>
      </c>
      <c r="L57" s="263">
        <f>SUM(L56)</f>
        <v>900000000</v>
      </c>
      <c r="M57" s="263">
        <f>SUM(M56)</f>
        <v>0</v>
      </c>
      <c r="N57" s="263">
        <v>0</v>
      </c>
      <c r="O57" s="263">
        <f t="shared" si="1"/>
        <v>-900000000</v>
      </c>
      <c r="P57" s="250">
        <v>0</v>
      </c>
      <c r="Q57" s="250">
        <v>0</v>
      </c>
      <c r="R57" s="253">
        <f t="shared" si="3"/>
        <v>0</v>
      </c>
    </row>
    <row r="58" spans="1:18" ht="21" customHeight="1" thickBot="1">
      <c r="A58" s="265"/>
      <c r="B58" s="266" t="s">
        <v>37</v>
      </c>
      <c r="C58" s="267"/>
      <c r="D58" s="267"/>
      <c r="E58" s="267"/>
      <c r="F58" s="267"/>
      <c r="G58" s="267"/>
      <c r="H58" s="267"/>
      <c r="I58" s="267"/>
      <c r="J58" s="266">
        <f>J54+J51+J44+J40+J32+J12</f>
        <v>13195562882</v>
      </c>
      <c r="K58" s="266">
        <f>K54+K51+K44+K40+K32+K12</f>
        <v>36927624324</v>
      </c>
      <c r="L58" s="266">
        <f>L57+L54+L51+L44+L40+L32+L12</f>
        <v>37666480824</v>
      </c>
      <c r="M58" s="266">
        <f>M57+M54+M51+M44+M40+M32+M12</f>
        <v>29240601670</v>
      </c>
      <c r="N58" s="266">
        <f>N57+N54+N51+N44+N40+N32+N12</f>
        <v>31819226470</v>
      </c>
      <c r="O58" s="266">
        <f t="shared" si="1"/>
        <v>-8425879154</v>
      </c>
      <c r="P58" s="250"/>
      <c r="Q58" s="250">
        <v>1200000000</v>
      </c>
      <c r="R58" s="250">
        <f t="shared" si="3"/>
        <v>1200000000</v>
      </c>
    </row>
    <row r="59" spans="1:18" ht="21" customHeight="1">
      <c r="P59" s="250">
        <f>P57+P51+P44+P40+P32</f>
        <v>899879154</v>
      </c>
      <c r="Q59" s="250">
        <f>Q58+Q57+Q51+Q44+Q40+Q32</f>
        <v>2099879154</v>
      </c>
      <c r="R59" s="250">
        <f>Q59-P59</f>
        <v>1200000000</v>
      </c>
    </row>
    <row r="61" spans="1:18" ht="21" customHeight="1">
      <c r="Q61" s="250">
        <v>2200000000</v>
      </c>
      <c r="R61" s="250">
        <f>Q59-Q61</f>
        <v>-100120846</v>
      </c>
    </row>
    <row r="66" spans="18:18" ht="21" customHeight="1">
      <c r="R66" s="255">
        <f>P59+Q58</f>
        <v>2099879154</v>
      </c>
    </row>
  </sheetData>
  <pageMargins left="0.7" right="0.7" top="0.75" bottom="0.75" header="0.3" footer="0.3"/>
  <pageSetup scale="50" orientation="portrait" r:id="rId1"/>
  <rowBreaks count="1" manualBreakCount="1">
    <brk id="58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6" sqref="G6"/>
    </sheetView>
  </sheetViews>
  <sheetFormatPr defaultRowHeight="39.950000000000003" customHeight="1"/>
  <cols>
    <col min="1" max="1" width="13.33203125" style="399" bestFit="1" customWidth="1"/>
    <col min="2" max="2" width="66.83203125" style="399" bestFit="1" customWidth="1"/>
    <col min="3" max="3" width="34.5" style="399" customWidth="1"/>
    <col min="4" max="4" width="34.5" style="399" hidden="1" customWidth="1"/>
    <col min="5" max="5" width="29.83203125" style="399" bestFit="1" customWidth="1"/>
    <col min="6" max="10" width="9.33203125" style="399"/>
    <col min="11" max="11" width="22.1640625" style="399" bestFit="1" customWidth="1"/>
    <col min="12" max="16384" width="9.33203125" style="399"/>
  </cols>
  <sheetData>
    <row r="1" spans="1:5" ht="33.75">
      <c r="A1" s="533" t="s">
        <v>1147</v>
      </c>
      <c r="B1" s="534" t="s">
        <v>622</v>
      </c>
      <c r="C1" s="533" t="s">
        <v>476</v>
      </c>
      <c r="D1" s="533"/>
      <c r="E1" s="533" t="s">
        <v>1148</v>
      </c>
    </row>
    <row r="2" spans="1:5" ht="25.5">
      <c r="A2" s="535">
        <v>1</v>
      </c>
      <c r="B2" s="536" t="s">
        <v>1149</v>
      </c>
      <c r="C2" s="537">
        <v>60369869966</v>
      </c>
      <c r="D2" s="537">
        <f>C20</f>
        <v>1080000000000.234</v>
      </c>
      <c r="E2" s="538">
        <f>C2/D2*100</f>
        <v>5.589802774628418</v>
      </c>
    </row>
    <row r="3" spans="1:5" ht="25.5">
      <c r="A3" s="535">
        <v>2</v>
      </c>
      <c r="B3" s="539" t="s">
        <v>642</v>
      </c>
      <c r="C3" s="537">
        <v>667477257679.6001</v>
      </c>
      <c r="D3" s="537">
        <v>1080000000000</v>
      </c>
      <c r="E3" s="538">
        <f>C3/D3*100</f>
        <v>61.80344978514816</v>
      </c>
    </row>
    <row r="4" spans="1:5" ht="25.5">
      <c r="A4" s="535">
        <v>3</v>
      </c>
      <c r="B4" s="539" t="s">
        <v>1150</v>
      </c>
      <c r="C4" s="537">
        <v>139069900911.07397</v>
      </c>
      <c r="D4" s="537">
        <v>1080000000000</v>
      </c>
      <c r="E4" s="538">
        <f t="shared" ref="E4:E19" si="0">C4/D4*100</f>
        <v>12.876842676951295</v>
      </c>
    </row>
    <row r="5" spans="1:5" ht="25.5">
      <c r="A5" s="535">
        <v>4</v>
      </c>
      <c r="B5" s="539" t="s">
        <v>644</v>
      </c>
      <c r="C5" s="537">
        <v>5999999999.999999</v>
      </c>
      <c r="D5" s="537">
        <v>1080000000000</v>
      </c>
      <c r="E5" s="538">
        <f t="shared" si="0"/>
        <v>0.55555555555555547</v>
      </c>
    </row>
    <row r="6" spans="1:5" ht="25.5">
      <c r="A6" s="535">
        <v>5</v>
      </c>
      <c r="B6" s="539" t="s">
        <v>645</v>
      </c>
      <c r="C6" s="537">
        <v>25350645667</v>
      </c>
      <c r="D6" s="537">
        <v>1080000000000</v>
      </c>
      <c r="E6" s="538">
        <f t="shared" si="0"/>
        <v>2.3472820062037036</v>
      </c>
    </row>
    <row r="7" spans="1:5" ht="25.5">
      <c r="A7" s="535">
        <v>6</v>
      </c>
      <c r="B7" s="539" t="s">
        <v>646</v>
      </c>
      <c r="C7" s="537">
        <v>2000000000</v>
      </c>
      <c r="D7" s="537">
        <v>1080000000000</v>
      </c>
      <c r="E7" s="538">
        <f t="shared" si="0"/>
        <v>0.1851851851851852</v>
      </c>
    </row>
    <row r="8" spans="1:5" ht="25.5">
      <c r="A8" s="535">
        <v>7</v>
      </c>
      <c r="B8" s="539" t="s">
        <v>1151</v>
      </c>
      <c r="C8" s="537">
        <v>2335160018.0000043</v>
      </c>
      <c r="D8" s="537">
        <v>1080000000000</v>
      </c>
      <c r="E8" s="538">
        <f t="shared" si="0"/>
        <v>0.21621852018518561</v>
      </c>
    </row>
    <row r="9" spans="1:5" ht="25.5">
      <c r="A9" s="535">
        <v>8</v>
      </c>
      <c r="B9" s="539" t="s">
        <v>1152</v>
      </c>
      <c r="C9" s="537">
        <v>11398538552</v>
      </c>
      <c r="D9" s="537">
        <v>1080000000000</v>
      </c>
      <c r="E9" s="538">
        <f t="shared" si="0"/>
        <v>1.0554202362962961</v>
      </c>
    </row>
    <row r="10" spans="1:5" ht="25.5">
      <c r="A10" s="535">
        <v>9</v>
      </c>
      <c r="B10" s="539" t="s">
        <v>958</v>
      </c>
      <c r="C10" s="537">
        <v>999999999.99999988</v>
      </c>
      <c r="D10" s="537">
        <v>1080000000000</v>
      </c>
      <c r="E10" s="538">
        <f t="shared" si="0"/>
        <v>9.2592592592592587E-2</v>
      </c>
    </row>
    <row r="11" spans="1:5" ht="25.5">
      <c r="A11" s="535">
        <v>10</v>
      </c>
      <c r="B11" s="539" t="s">
        <v>650</v>
      </c>
      <c r="C11" s="537">
        <v>4574452820</v>
      </c>
      <c r="D11" s="537">
        <v>1080000000000</v>
      </c>
      <c r="E11" s="538">
        <f t="shared" si="0"/>
        <v>0.42356044629629624</v>
      </c>
    </row>
    <row r="12" spans="1:5" ht="25.5">
      <c r="A12" s="535">
        <v>11</v>
      </c>
      <c r="B12" s="539" t="s">
        <v>1153</v>
      </c>
      <c r="C12" s="537">
        <v>1700000000</v>
      </c>
      <c r="D12" s="537">
        <v>1080000000000</v>
      </c>
      <c r="E12" s="538">
        <f t="shared" si="0"/>
        <v>0.15740740740740741</v>
      </c>
    </row>
    <row r="13" spans="1:5" ht="25.5">
      <c r="A13" s="535">
        <v>12</v>
      </c>
      <c r="B13" s="539" t="s">
        <v>652</v>
      </c>
      <c r="C13" s="537">
        <v>4800000000</v>
      </c>
      <c r="D13" s="537">
        <v>1080000000000</v>
      </c>
      <c r="E13" s="538">
        <f t="shared" si="0"/>
        <v>0.44444444444444442</v>
      </c>
    </row>
    <row r="14" spans="1:5" ht="25.5">
      <c r="A14" s="535">
        <v>13</v>
      </c>
      <c r="B14" s="539" t="s">
        <v>1154</v>
      </c>
      <c r="C14" s="537">
        <v>3000000000</v>
      </c>
      <c r="D14" s="537">
        <v>1080000000000</v>
      </c>
      <c r="E14" s="538">
        <f t="shared" si="0"/>
        <v>0.27777777777777779</v>
      </c>
    </row>
    <row r="15" spans="1:5" ht="25.5">
      <c r="A15" s="535">
        <v>14</v>
      </c>
      <c r="B15" s="539" t="s">
        <v>1155</v>
      </c>
      <c r="C15" s="537">
        <v>36000000000</v>
      </c>
      <c r="D15" s="537">
        <v>1080000000000</v>
      </c>
      <c r="E15" s="538">
        <f t="shared" si="0"/>
        <v>3.3333333333333335</v>
      </c>
    </row>
    <row r="16" spans="1:5" ht="25.5">
      <c r="A16" s="535">
        <v>15</v>
      </c>
      <c r="B16" s="539" t="s">
        <v>1156</v>
      </c>
      <c r="C16" s="537">
        <v>45000000000</v>
      </c>
      <c r="D16" s="537">
        <v>1080000000000</v>
      </c>
      <c r="E16" s="538">
        <f t="shared" si="0"/>
        <v>4.1666666666666661</v>
      </c>
    </row>
    <row r="17" spans="1:5" ht="25.5">
      <c r="A17" s="535">
        <v>16</v>
      </c>
      <c r="B17" s="539" t="s">
        <v>959</v>
      </c>
      <c r="C17" s="537">
        <v>10933391988.480001</v>
      </c>
      <c r="D17" s="537">
        <v>1080000000000</v>
      </c>
      <c r="E17" s="538">
        <f t="shared" si="0"/>
        <v>1.0123511100444447</v>
      </c>
    </row>
    <row r="18" spans="1:5" ht="25.5">
      <c r="A18" s="535">
        <v>17</v>
      </c>
      <c r="B18" s="539" t="s">
        <v>960</v>
      </c>
      <c r="C18" s="537">
        <v>26000000000</v>
      </c>
      <c r="D18" s="537">
        <v>1080000000000</v>
      </c>
      <c r="E18" s="538">
        <f t="shared" si="0"/>
        <v>2.4074074074074074</v>
      </c>
    </row>
    <row r="19" spans="1:5" ht="25.5">
      <c r="A19" s="535">
        <v>18</v>
      </c>
      <c r="B19" s="539" t="s">
        <v>1157</v>
      </c>
      <c r="C19" s="537">
        <v>32990782398.080006</v>
      </c>
      <c r="D19" s="537">
        <v>1080000000000</v>
      </c>
      <c r="E19" s="538">
        <f t="shared" si="0"/>
        <v>3.0547020738962969</v>
      </c>
    </row>
    <row r="20" spans="1:5" ht="25.5">
      <c r="A20" s="539"/>
      <c r="B20" s="540" t="s">
        <v>640</v>
      </c>
      <c r="C20" s="541">
        <f>SUM(C2:C19)</f>
        <v>1080000000000.234</v>
      </c>
      <c r="D20" s="541"/>
      <c r="E20" s="540">
        <f>SUM(E2:E19)</f>
        <v>100.00000000002046</v>
      </c>
    </row>
    <row r="21" spans="1:5" ht="16.5">
      <c r="A21" s="542"/>
      <c r="B21" s="542"/>
      <c r="C21" s="542"/>
      <c r="D21" s="542"/>
    </row>
    <row r="22" spans="1:5" ht="16.5">
      <c r="A22" s="542"/>
      <c r="B22" s="542"/>
      <c r="C22" s="542"/>
      <c r="D22" s="542"/>
    </row>
    <row r="23" spans="1:5" ht="16.5">
      <c r="A23" s="542"/>
      <c r="B23" s="542"/>
      <c r="C23" s="542"/>
      <c r="D23" s="542"/>
    </row>
    <row r="24" spans="1:5" ht="16.5">
      <c r="A24" s="542"/>
      <c r="B24" s="542"/>
      <c r="C24" s="542"/>
      <c r="D24" s="542"/>
    </row>
    <row r="25" spans="1:5" ht="16.5">
      <c r="A25" s="542"/>
      <c r="B25" s="542"/>
      <c r="C25" s="542"/>
      <c r="D25" s="542"/>
    </row>
    <row r="26" spans="1:5" ht="16.5">
      <c r="A26" s="542"/>
      <c r="B26" s="542"/>
      <c r="C26" s="542"/>
      <c r="D26" s="542"/>
    </row>
    <row r="27" spans="1:5" ht="16.5">
      <c r="A27" s="542"/>
      <c r="B27" s="542"/>
      <c r="C27" s="542"/>
      <c r="D27" s="542"/>
    </row>
    <row r="28" spans="1:5" ht="16.5">
      <c r="A28" s="542"/>
      <c r="B28" s="542"/>
      <c r="C28" s="542"/>
      <c r="D28" s="542"/>
    </row>
    <row r="29" spans="1:5" ht="16.5">
      <c r="A29" s="542"/>
      <c r="B29" s="542"/>
      <c r="C29" s="542"/>
      <c r="D29" s="542"/>
    </row>
    <row r="30" spans="1:5" ht="16.5">
      <c r="A30" s="542"/>
      <c r="B30" s="542"/>
      <c r="C30" s="542"/>
      <c r="D30" s="542"/>
    </row>
    <row r="31" spans="1:5" ht="16.5">
      <c r="A31" s="542"/>
      <c r="B31" s="542"/>
      <c r="C31" s="542"/>
      <c r="D31" s="542"/>
    </row>
    <row r="32" spans="1:5" ht="16.5">
      <c r="A32" s="542"/>
      <c r="B32" s="542"/>
      <c r="C32" s="542"/>
      <c r="D32" s="542"/>
    </row>
    <row r="33" spans="1:4" ht="16.5">
      <c r="A33" s="542"/>
      <c r="B33" s="542"/>
      <c r="C33" s="542"/>
      <c r="D33" s="542"/>
    </row>
    <row r="34" spans="1:4" ht="16.5">
      <c r="A34" s="542"/>
      <c r="B34" s="542"/>
      <c r="C34" s="542"/>
      <c r="D34" s="542"/>
    </row>
    <row r="35" spans="1:4" ht="16.5">
      <c r="A35" s="542"/>
      <c r="B35" s="542"/>
      <c r="C35" s="542"/>
      <c r="D35" s="542"/>
    </row>
    <row r="36" spans="1:4" ht="16.5">
      <c r="A36" s="542"/>
      <c r="B36" s="542"/>
      <c r="C36" s="542"/>
      <c r="D36" s="542"/>
    </row>
    <row r="37" spans="1:4" ht="16.5">
      <c r="A37" s="542"/>
      <c r="B37" s="542"/>
      <c r="C37" s="542"/>
      <c r="D37" s="542"/>
    </row>
    <row r="38" spans="1:4" ht="16.5">
      <c r="A38" s="542"/>
      <c r="B38" s="542"/>
      <c r="C38" s="542"/>
      <c r="D38" s="542"/>
    </row>
    <row r="39" spans="1:4" ht="16.5">
      <c r="A39" s="542"/>
      <c r="B39" s="542"/>
      <c r="C39" s="542"/>
      <c r="D39" s="542"/>
    </row>
    <row r="40" spans="1:4" ht="16.5">
      <c r="A40" s="542"/>
      <c r="B40" s="542"/>
      <c r="C40" s="542"/>
      <c r="D40" s="542"/>
    </row>
    <row r="41" spans="1:4" ht="16.5">
      <c r="A41" s="542"/>
      <c r="B41" s="542"/>
      <c r="C41" s="542"/>
      <c r="D41" s="542"/>
    </row>
    <row r="42" spans="1:4" ht="16.5">
      <c r="A42" s="542"/>
      <c r="B42" s="542"/>
      <c r="C42" s="542"/>
      <c r="D42" s="542"/>
    </row>
    <row r="43" spans="1:4" ht="16.5">
      <c r="A43" s="542"/>
      <c r="B43" s="542"/>
      <c r="C43" s="542"/>
      <c r="D43" s="542"/>
    </row>
  </sheetData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view="pageBreakPreview" topLeftCell="A4" zoomScale="60" workbookViewId="0">
      <selection activeCell="J23" sqref="J23"/>
    </sheetView>
  </sheetViews>
  <sheetFormatPr defaultRowHeight="16.7" customHeight="1"/>
  <cols>
    <col min="1" max="1" width="11.83203125" style="473" bestFit="1" customWidth="1"/>
    <col min="2" max="2" width="84.6640625" style="411" bestFit="1" customWidth="1"/>
    <col min="3" max="3" width="31.5" style="474" bestFit="1" customWidth="1"/>
    <col min="4" max="4" width="33.5" style="474" customWidth="1"/>
    <col min="5" max="5" width="31.5" style="475" bestFit="1" customWidth="1"/>
    <col min="6" max="6" width="24" style="410" hidden="1" customWidth="1"/>
    <col min="7" max="7" width="18.6640625" style="410" hidden="1" customWidth="1"/>
    <col min="8" max="8" width="1.1640625" style="410" customWidth="1"/>
    <col min="9" max="9" width="9.33203125" style="410"/>
    <col min="10" max="10" width="21" style="410" bestFit="1" customWidth="1"/>
    <col min="11" max="20" width="9.33203125" style="410"/>
    <col min="21" max="16384" width="9.33203125" style="411"/>
  </cols>
  <sheetData>
    <row r="1" spans="1:15" ht="16.7" customHeight="1">
      <c r="A1" s="403"/>
      <c r="B1" s="404"/>
      <c r="C1" s="405">
        <v>2014</v>
      </c>
      <c r="D1" s="405">
        <v>2015</v>
      </c>
      <c r="E1" s="406" t="s">
        <v>56</v>
      </c>
      <c r="F1" s="407"/>
      <c r="G1" s="408"/>
      <c r="H1" s="409"/>
    </row>
    <row r="2" spans="1:15" ht="16.7" customHeight="1">
      <c r="A2" s="403"/>
      <c r="B2" s="412" t="s">
        <v>1129</v>
      </c>
      <c r="C2" s="306">
        <v>30464404054</v>
      </c>
      <c r="D2" s="413">
        <v>60369869966</v>
      </c>
      <c r="E2" s="414">
        <f>D2-C2</f>
        <v>29905465912</v>
      </c>
      <c r="F2" s="415"/>
      <c r="G2" s="416"/>
      <c r="H2" s="409"/>
    </row>
    <row r="3" spans="1:15" ht="16.7" customHeight="1">
      <c r="A3" s="417">
        <v>11</v>
      </c>
      <c r="B3" s="418" t="s">
        <v>658</v>
      </c>
      <c r="C3" s="405"/>
      <c r="D3" s="405"/>
      <c r="E3" s="406"/>
      <c r="F3" s="407"/>
      <c r="G3" s="416"/>
      <c r="H3" s="409"/>
    </row>
    <row r="4" spans="1:15" ht="16.7" customHeight="1">
      <c r="A4" s="417">
        <v>111</v>
      </c>
      <c r="B4" s="419" t="s">
        <v>939</v>
      </c>
      <c r="C4" s="420"/>
      <c r="D4" s="420"/>
      <c r="E4" s="406"/>
      <c r="F4" s="421"/>
      <c r="G4" s="422"/>
      <c r="H4" s="409"/>
      <c r="M4" s="423"/>
      <c r="N4" s="423"/>
      <c r="O4" s="423"/>
    </row>
    <row r="5" spans="1:15" ht="16.7" customHeight="1">
      <c r="A5" s="424">
        <v>1110</v>
      </c>
      <c r="B5" s="425" t="s">
        <v>662</v>
      </c>
      <c r="C5" s="83">
        <v>8785053332</v>
      </c>
      <c r="D5" s="426">
        <v>9500000000</v>
      </c>
      <c r="E5" s="414">
        <f t="shared" ref="E5:E68" si="0">D5-C5</f>
        <v>714946668</v>
      </c>
      <c r="F5" s="421"/>
      <c r="G5" s="422"/>
      <c r="H5" s="409"/>
      <c r="M5" s="423"/>
      <c r="N5" s="423"/>
      <c r="O5" s="423"/>
    </row>
    <row r="6" spans="1:15" ht="16.7" customHeight="1">
      <c r="A6" s="424">
        <v>11120</v>
      </c>
      <c r="B6" s="425" t="s">
        <v>664</v>
      </c>
      <c r="C6" s="427">
        <v>36251655068</v>
      </c>
      <c r="D6" s="427">
        <v>34481021799</v>
      </c>
      <c r="E6" s="414">
        <f t="shared" si="0"/>
        <v>-1770633269</v>
      </c>
      <c r="F6" s="421"/>
      <c r="G6" s="422"/>
      <c r="H6" s="409"/>
      <c r="M6" s="423"/>
      <c r="N6" s="423"/>
      <c r="O6" s="423"/>
    </row>
    <row r="7" spans="1:15" ht="16.7" customHeight="1">
      <c r="A7" s="424">
        <v>11130</v>
      </c>
      <c r="B7" s="425" t="s">
        <v>666</v>
      </c>
      <c r="C7" s="428">
        <v>10749696774</v>
      </c>
      <c r="D7" s="426">
        <v>12330839468</v>
      </c>
      <c r="E7" s="406">
        <f t="shared" si="0"/>
        <v>1581142694</v>
      </c>
      <c r="F7" s="429"/>
      <c r="G7" s="422"/>
      <c r="H7" s="409"/>
      <c r="M7" s="423"/>
      <c r="N7" s="423"/>
      <c r="O7" s="423"/>
    </row>
    <row r="8" spans="1:15" ht="16.7" customHeight="1">
      <c r="A8" s="424"/>
      <c r="B8" s="419" t="s">
        <v>667</v>
      </c>
      <c r="C8" s="430">
        <f>SUM(C5:C7)</f>
        <v>55786405174</v>
      </c>
      <c r="D8" s="430">
        <f>SUM(D5:D7)</f>
        <v>56311861267</v>
      </c>
      <c r="E8" s="406">
        <f t="shared" si="0"/>
        <v>525456093</v>
      </c>
      <c r="F8" s="431"/>
      <c r="G8" s="432"/>
      <c r="H8" s="409"/>
      <c r="M8" s="423"/>
      <c r="N8" s="423"/>
      <c r="O8" s="423"/>
    </row>
    <row r="9" spans="1:15" ht="16.7" customHeight="1">
      <c r="A9" s="417">
        <v>1130</v>
      </c>
      <c r="B9" s="419" t="s">
        <v>669</v>
      </c>
      <c r="C9" s="433"/>
      <c r="D9" s="433"/>
      <c r="E9" s="406"/>
      <c r="F9" s="415"/>
      <c r="G9" s="422"/>
      <c r="H9" s="409"/>
      <c r="M9" s="423"/>
      <c r="N9" s="423"/>
      <c r="O9" s="423"/>
    </row>
    <row r="10" spans="1:15" ht="16.7" customHeight="1">
      <c r="A10" s="424">
        <v>11350</v>
      </c>
      <c r="B10" s="425" t="s">
        <v>671</v>
      </c>
      <c r="C10" s="428">
        <v>2953443776</v>
      </c>
      <c r="D10" s="426">
        <v>5000000000</v>
      </c>
      <c r="E10" s="406">
        <f t="shared" si="0"/>
        <v>2046556224</v>
      </c>
      <c r="F10" s="429"/>
      <c r="G10" s="422"/>
      <c r="H10" s="409"/>
      <c r="M10" s="423"/>
      <c r="N10" s="423"/>
      <c r="O10" s="423"/>
    </row>
    <row r="11" spans="1:15" ht="16.7" customHeight="1">
      <c r="A11" s="403"/>
      <c r="B11" s="419" t="s">
        <v>667</v>
      </c>
      <c r="C11" s="430">
        <f>SUM(C10)</f>
        <v>2953443776</v>
      </c>
      <c r="D11" s="430">
        <f>SUM(D10)</f>
        <v>5000000000</v>
      </c>
      <c r="E11" s="406">
        <f t="shared" si="0"/>
        <v>2046556224</v>
      </c>
      <c r="F11" s="431"/>
      <c r="G11" s="422"/>
      <c r="H11" s="409"/>
      <c r="M11" s="423"/>
      <c r="N11" s="423"/>
      <c r="O11" s="423"/>
    </row>
    <row r="12" spans="1:15" ht="16.7" customHeight="1">
      <c r="A12" s="417">
        <v>114</v>
      </c>
      <c r="B12" s="419" t="s">
        <v>673</v>
      </c>
      <c r="C12" s="433"/>
      <c r="D12" s="433"/>
      <c r="E12" s="406"/>
      <c r="F12" s="415"/>
      <c r="G12" s="422"/>
      <c r="H12" s="409"/>
      <c r="M12" s="423"/>
      <c r="N12" s="423"/>
      <c r="O12" s="423"/>
    </row>
    <row r="13" spans="1:15" ht="16.7" customHeight="1">
      <c r="A13" s="424">
        <v>11411</v>
      </c>
      <c r="B13" s="425" t="s">
        <v>675</v>
      </c>
      <c r="C13" s="427">
        <v>78388962042</v>
      </c>
      <c r="D13" s="426">
        <v>90777076335</v>
      </c>
      <c r="E13" s="414">
        <f t="shared" si="0"/>
        <v>12388114293</v>
      </c>
      <c r="F13" s="421"/>
      <c r="G13" s="422"/>
      <c r="H13" s="409"/>
      <c r="M13" s="423"/>
      <c r="N13" s="423"/>
      <c r="O13" s="423"/>
    </row>
    <row r="14" spans="1:15" ht="16.7" customHeight="1">
      <c r="A14" s="424">
        <v>11441</v>
      </c>
      <c r="B14" s="425" t="s">
        <v>677</v>
      </c>
      <c r="C14" s="427">
        <v>1200000000</v>
      </c>
      <c r="D14" s="426">
        <v>2000000000</v>
      </c>
      <c r="E14" s="414">
        <f t="shared" si="0"/>
        <v>800000000</v>
      </c>
      <c r="F14" s="421"/>
      <c r="G14" s="422"/>
      <c r="H14" s="409"/>
      <c r="M14" s="423"/>
      <c r="N14" s="423"/>
      <c r="O14" s="423"/>
    </row>
    <row r="15" spans="1:15" ht="16.7" customHeight="1">
      <c r="A15" s="424">
        <v>11442</v>
      </c>
      <c r="B15" s="425" t="s">
        <v>679</v>
      </c>
      <c r="C15" s="427">
        <v>13648102000</v>
      </c>
      <c r="D15" s="434">
        <v>25350645667</v>
      </c>
      <c r="E15" s="414">
        <f t="shared" si="0"/>
        <v>11702543667</v>
      </c>
      <c r="F15" s="421"/>
      <c r="G15" s="422"/>
      <c r="H15" s="409"/>
      <c r="M15" s="423"/>
      <c r="N15" s="423"/>
      <c r="O15" s="423"/>
    </row>
    <row r="16" spans="1:15" ht="16.7" customHeight="1">
      <c r="A16" s="424">
        <v>11443</v>
      </c>
      <c r="B16" s="435" t="s">
        <v>1130</v>
      </c>
      <c r="C16" s="436">
        <v>626988780</v>
      </c>
      <c r="D16" s="436">
        <v>626988780</v>
      </c>
      <c r="E16" s="406">
        <f t="shared" si="0"/>
        <v>0</v>
      </c>
      <c r="F16" s="437"/>
      <c r="G16" s="422"/>
      <c r="H16" s="409"/>
      <c r="M16" s="423"/>
      <c r="N16" s="423"/>
      <c r="O16" s="423"/>
    </row>
    <row r="17" spans="1:15" ht="16.7" customHeight="1">
      <c r="A17" s="403"/>
      <c r="B17" s="419" t="s">
        <v>667</v>
      </c>
      <c r="C17" s="430">
        <f>SUM(C13:C16)</f>
        <v>93864052822</v>
      </c>
      <c r="D17" s="430">
        <f>SUM(D13:D16)</f>
        <v>118754710782</v>
      </c>
      <c r="E17" s="406">
        <f t="shared" si="0"/>
        <v>24890657960</v>
      </c>
      <c r="F17" s="431"/>
      <c r="G17" s="438"/>
      <c r="H17" s="409"/>
      <c r="M17" s="423"/>
      <c r="N17" s="423"/>
      <c r="O17" s="423"/>
    </row>
    <row r="18" spans="1:15" ht="16.7" customHeight="1">
      <c r="A18" s="417">
        <v>1145</v>
      </c>
      <c r="B18" s="419" t="s">
        <v>683</v>
      </c>
      <c r="C18" s="433"/>
      <c r="D18" s="433"/>
      <c r="E18" s="406"/>
      <c r="F18" s="415"/>
      <c r="G18" s="422"/>
      <c r="H18" s="409"/>
      <c r="M18" s="423"/>
      <c r="N18" s="423"/>
      <c r="O18" s="423"/>
    </row>
    <row r="19" spans="1:15" ht="16.7" customHeight="1">
      <c r="A19" s="424">
        <v>11451</v>
      </c>
      <c r="B19" s="425" t="s">
        <v>940</v>
      </c>
      <c r="C19" s="427">
        <v>3526828400</v>
      </c>
      <c r="D19" s="426">
        <v>0</v>
      </c>
      <c r="E19" s="414">
        <f t="shared" si="0"/>
        <v>-3526828400</v>
      </c>
      <c r="F19" s="421"/>
      <c r="G19" s="422"/>
      <c r="H19" s="409"/>
      <c r="M19" s="423"/>
      <c r="N19" s="423"/>
      <c r="O19" s="423"/>
    </row>
    <row r="20" spans="1:15" ht="16.7" customHeight="1">
      <c r="A20" s="424">
        <v>11452</v>
      </c>
      <c r="B20" s="425" t="s">
        <v>941</v>
      </c>
      <c r="C20" s="83">
        <v>1850000000</v>
      </c>
      <c r="D20" s="426">
        <v>1000000000</v>
      </c>
      <c r="E20" s="414">
        <f t="shared" si="0"/>
        <v>-850000000</v>
      </c>
      <c r="F20" s="421"/>
      <c r="G20" s="422"/>
      <c r="H20" s="409"/>
      <c r="I20" s="409"/>
      <c r="J20" s="409"/>
      <c r="M20" s="423"/>
      <c r="N20" s="423"/>
      <c r="O20" s="423"/>
    </row>
    <row r="21" spans="1:15" ht="16.7" customHeight="1">
      <c r="A21" s="424">
        <v>11453</v>
      </c>
      <c r="B21" s="425" t="s">
        <v>689</v>
      </c>
      <c r="C21" s="427">
        <v>10104187529</v>
      </c>
      <c r="D21" s="426">
        <v>12032538334</v>
      </c>
      <c r="E21" s="414">
        <f t="shared" si="0"/>
        <v>1928350805</v>
      </c>
      <c r="F21" s="421"/>
      <c r="G21" s="422"/>
      <c r="H21" s="409"/>
      <c r="I21" s="409"/>
      <c r="J21" s="409"/>
      <c r="M21" s="423"/>
      <c r="N21" s="423"/>
      <c r="O21" s="423"/>
    </row>
    <row r="22" spans="1:15" ht="16.7" customHeight="1">
      <c r="A22" s="424">
        <v>11454</v>
      </c>
      <c r="B22" s="425" t="s">
        <v>691</v>
      </c>
      <c r="C22" s="427">
        <v>4000000000</v>
      </c>
      <c r="D22" s="426">
        <v>4574452820</v>
      </c>
      <c r="E22" s="414">
        <f t="shared" si="0"/>
        <v>574452820</v>
      </c>
      <c r="F22" s="421"/>
      <c r="G22" s="422"/>
      <c r="H22" s="409"/>
      <c r="I22" s="409"/>
      <c r="J22" s="409"/>
      <c r="M22" s="423"/>
      <c r="N22" s="423"/>
      <c r="O22" s="423"/>
    </row>
    <row r="23" spans="1:15" ht="16.7" customHeight="1">
      <c r="A23" s="424">
        <v>11455</v>
      </c>
      <c r="B23" s="425" t="s">
        <v>693</v>
      </c>
      <c r="C23" s="83">
        <v>10800000000</v>
      </c>
      <c r="D23" s="426">
        <v>11398538552</v>
      </c>
      <c r="E23" s="414">
        <f t="shared" si="0"/>
        <v>598538552</v>
      </c>
      <c r="F23" s="421"/>
      <c r="G23" s="422"/>
      <c r="H23" s="409"/>
      <c r="I23" s="409"/>
      <c r="J23" s="409"/>
      <c r="M23" s="423"/>
      <c r="N23" s="423"/>
      <c r="O23" s="423"/>
    </row>
    <row r="24" spans="1:15" ht="16.7" customHeight="1">
      <c r="A24" s="424">
        <v>11456</v>
      </c>
      <c r="B24" s="425" t="s">
        <v>695</v>
      </c>
      <c r="C24" s="427">
        <v>21346854976</v>
      </c>
      <c r="D24" s="426">
        <v>23042125013</v>
      </c>
      <c r="E24" s="414">
        <f t="shared" si="0"/>
        <v>1695270037</v>
      </c>
      <c r="F24" s="421"/>
      <c r="G24" s="422"/>
      <c r="H24" s="409"/>
      <c r="I24" s="409"/>
      <c r="J24" s="409"/>
      <c r="M24" s="423"/>
      <c r="N24" s="423"/>
      <c r="O24" s="423"/>
    </row>
    <row r="25" spans="1:15" ht="16.7" customHeight="1">
      <c r="A25" s="439">
        <v>11467</v>
      </c>
      <c r="B25" s="425" t="s">
        <v>1131</v>
      </c>
      <c r="C25" s="83">
        <v>5043672481</v>
      </c>
      <c r="D25" s="426">
        <v>5500000000</v>
      </c>
      <c r="E25" s="414">
        <f t="shared" si="0"/>
        <v>456327519</v>
      </c>
      <c r="F25" s="421"/>
      <c r="G25" s="422"/>
      <c r="H25" s="409"/>
      <c r="I25" s="409"/>
      <c r="J25" s="409"/>
      <c r="M25" s="423"/>
      <c r="N25" s="423"/>
      <c r="O25" s="423"/>
    </row>
    <row r="26" spans="1:15" ht="16.7" customHeight="1">
      <c r="A26" s="424">
        <v>11458</v>
      </c>
      <c r="B26" s="425" t="s">
        <v>697</v>
      </c>
      <c r="C26" s="427">
        <v>450000000</v>
      </c>
      <c r="D26" s="426">
        <v>450000000</v>
      </c>
      <c r="E26" s="414">
        <f t="shared" si="0"/>
        <v>0</v>
      </c>
      <c r="F26" s="421"/>
      <c r="G26" s="422"/>
      <c r="H26" s="409"/>
      <c r="I26" s="409"/>
      <c r="J26" s="409"/>
      <c r="M26" s="423"/>
      <c r="N26" s="423"/>
      <c r="O26" s="423"/>
    </row>
    <row r="27" spans="1:15" ht="16.7" customHeight="1">
      <c r="A27" s="424">
        <v>11459</v>
      </c>
      <c r="B27" s="425" t="s">
        <v>942</v>
      </c>
      <c r="C27" s="83">
        <v>3127510980</v>
      </c>
      <c r="D27" s="426">
        <v>3127510980</v>
      </c>
      <c r="E27" s="414">
        <f t="shared" si="0"/>
        <v>0</v>
      </c>
      <c r="F27" s="440"/>
      <c r="G27" s="422"/>
      <c r="H27" s="441"/>
      <c r="I27" s="409"/>
      <c r="J27" s="409"/>
      <c r="M27" s="442"/>
      <c r="N27" s="423"/>
      <c r="O27" s="423"/>
    </row>
    <row r="28" spans="1:15" ht="16.7" customHeight="1">
      <c r="A28" s="424">
        <v>114510</v>
      </c>
      <c r="B28" s="425" t="s">
        <v>701</v>
      </c>
      <c r="C28" s="443">
        <v>18255568</v>
      </c>
      <c r="D28" s="426">
        <v>18255568</v>
      </c>
      <c r="E28" s="406">
        <f t="shared" si="0"/>
        <v>0</v>
      </c>
      <c r="F28" s="431"/>
      <c r="G28" s="438"/>
      <c r="H28" s="409"/>
      <c r="I28" s="409"/>
      <c r="J28" s="409"/>
      <c r="M28" s="423"/>
      <c r="N28" s="423"/>
      <c r="O28" s="423"/>
    </row>
    <row r="29" spans="1:15" ht="16.7" customHeight="1">
      <c r="A29" s="403"/>
      <c r="B29" s="419" t="s">
        <v>667</v>
      </c>
      <c r="C29" s="430">
        <f>SUM(C19:C28)</f>
        <v>60267309934</v>
      </c>
      <c r="D29" s="430">
        <f>SUM(D19:D28)</f>
        <v>61143421267</v>
      </c>
      <c r="E29" s="406">
        <f t="shared" si="0"/>
        <v>876111333</v>
      </c>
      <c r="F29" s="415"/>
      <c r="G29" s="422"/>
      <c r="H29" s="409"/>
      <c r="I29" s="409"/>
      <c r="J29" s="409"/>
      <c r="M29" s="423"/>
      <c r="N29" s="423"/>
      <c r="O29" s="423"/>
    </row>
    <row r="30" spans="1:15" ht="16.7" customHeight="1">
      <c r="A30" s="417">
        <v>115</v>
      </c>
      <c r="B30" s="419" t="s">
        <v>1132</v>
      </c>
      <c r="C30" s="433"/>
      <c r="D30" s="433"/>
      <c r="E30" s="406"/>
      <c r="F30" s="421"/>
      <c r="G30" s="422"/>
      <c r="H30" s="409"/>
      <c r="I30" s="409"/>
      <c r="J30" s="409"/>
      <c r="M30" s="423"/>
      <c r="N30" s="423"/>
      <c r="O30" s="423"/>
    </row>
    <row r="31" spans="1:15" ht="16.7" customHeight="1">
      <c r="A31" s="424">
        <v>11510</v>
      </c>
      <c r="B31" s="425" t="s">
        <v>705</v>
      </c>
      <c r="C31" s="427">
        <v>282876881142</v>
      </c>
      <c r="D31" s="426">
        <v>331982300135</v>
      </c>
      <c r="E31" s="414">
        <f t="shared" si="0"/>
        <v>49105418993</v>
      </c>
      <c r="F31" s="421"/>
      <c r="G31" s="422"/>
      <c r="H31" s="409"/>
      <c r="I31" s="409"/>
      <c r="J31" s="409"/>
      <c r="M31" s="423"/>
      <c r="N31" s="423"/>
      <c r="O31" s="423"/>
    </row>
    <row r="32" spans="1:15" ht="16.7" customHeight="1">
      <c r="A32" s="424">
        <v>11520</v>
      </c>
      <c r="B32" s="425" t="s">
        <v>943</v>
      </c>
      <c r="C32" s="427">
        <v>695605146</v>
      </c>
      <c r="D32" s="426">
        <v>695605146</v>
      </c>
      <c r="E32" s="414">
        <f t="shared" si="0"/>
        <v>0</v>
      </c>
      <c r="F32" s="421"/>
      <c r="G32" s="422"/>
      <c r="H32" s="409"/>
      <c r="I32" s="409"/>
      <c r="J32" s="409"/>
      <c r="M32" s="423"/>
      <c r="N32" s="423"/>
      <c r="O32" s="423"/>
    </row>
    <row r="33" spans="1:15" ht="16.7" customHeight="1">
      <c r="A33" s="424">
        <v>11530</v>
      </c>
      <c r="B33" s="425" t="s">
        <v>709</v>
      </c>
      <c r="C33" s="427">
        <v>27383839801</v>
      </c>
      <c r="D33" s="426">
        <v>31388586871</v>
      </c>
      <c r="E33" s="414">
        <f t="shared" si="0"/>
        <v>4004747070</v>
      </c>
      <c r="F33" s="444"/>
      <c r="G33" s="422"/>
      <c r="H33" s="409"/>
      <c r="M33" s="423"/>
      <c r="N33" s="423"/>
      <c r="O33" s="423"/>
    </row>
    <row r="34" spans="1:15" ht="16.7" customHeight="1">
      <c r="A34" s="424">
        <v>11540</v>
      </c>
      <c r="B34" s="425" t="s">
        <v>711</v>
      </c>
      <c r="C34" s="445">
        <v>107574091391</v>
      </c>
      <c r="D34" s="445">
        <v>109574091391</v>
      </c>
      <c r="E34" s="414">
        <f t="shared" si="0"/>
        <v>2000000000</v>
      </c>
      <c r="F34" s="446"/>
      <c r="G34" s="422"/>
      <c r="H34" s="409"/>
      <c r="M34" s="423"/>
      <c r="N34" s="423"/>
      <c r="O34" s="423"/>
    </row>
    <row r="35" spans="1:15" ht="16.7" customHeight="1">
      <c r="A35" s="424">
        <v>11550</v>
      </c>
      <c r="B35" s="425" t="s">
        <v>1133</v>
      </c>
      <c r="C35" s="445">
        <v>20000000000</v>
      </c>
      <c r="D35" s="426">
        <v>15885249154</v>
      </c>
      <c r="E35" s="414">
        <f t="shared" si="0"/>
        <v>-4114750846</v>
      </c>
      <c r="F35" s="431"/>
      <c r="G35" s="438"/>
      <c r="H35" s="409"/>
      <c r="M35" s="423"/>
      <c r="N35" s="423"/>
      <c r="O35" s="423"/>
    </row>
    <row r="36" spans="1:15" ht="16.7" customHeight="1">
      <c r="A36" s="424">
        <v>11560</v>
      </c>
      <c r="B36" s="425" t="s">
        <v>1134</v>
      </c>
      <c r="C36" s="83">
        <v>9254674112</v>
      </c>
      <c r="D36" s="426">
        <v>10933391988</v>
      </c>
      <c r="E36" s="406">
        <f t="shared" si="0"/>
        <v>1678717876</v>
      </c>
      <c r="F36" s="415"/>
      <c r="G36" s="422"/>
      <c r="H36" s="409"/>
      <c r="M36" s="423"/>
      <c r="N36" s="423"/>
      <c r="O36" s="423"/>
    </row>
    <row r="37" spans="1:15" ht="16.7" customHeight="1">
      <c r="A37" s="403"/>
      <c r="B37" s="419" t="s">
        <v>667</v>
      </c>
      <c r="C37" s="430">
        <f>SUM(C31:C36)</f>
        <v>447785091592</v>
      </c>
      <c r="D37" s="430">
        <f>SUM(D31:D36)</f>
        <v>500459224685</v>
      </c>
      <c r="E37" s="406">
        <f t="shared" si="0"/>
        <v>52674133093</v>
      </c>
      <c r="F37" s="421"/>
      <c r="G37" s="422"/>
      <c r="H37" s="409"/>
      <c r="M37" s="423"/>
      <c r="N37" s="423"/>
      <c r="O37" s="423"/>
    </row>
    <row r="38" spans="1:15" ht="16.7" customHeight="1">
      <c r="A38" s="417">
        <v>116</v>
      </c>
      <c r="B38" s="419" t="s">
        <v>713</v>
      </c>
      <c r="C38" s="433"/>
      <c r="D38" s="433"/>
      <c r="E38" s="406"/>
      <c r="F38" s="421"/>
      <c r="G38" s="422"/>
      <c r="H38" s="409"/>
      <c r="M38" s="423"/>
      <c r="N38" s="423"/>
      <c r="O38" s="423"/>
    </row>
    <row r="39" spans="1:15" ht="16.7" customHeight="1">
      <c r="A39" s="424">
        <v>1160</v>
      </c>
      <c r="B39" s="425" t="s">
        <v>715</v>
      </c>
      <c r="C39" s="447">
        <v>0</v>
      </c>
      <c r="D39" s="426">
        <v>1092232757.0000005</v>
      </c>
      <c r="E39" s="414">
        <f t="shared" si="0"/>
        <v>1092232757.0000005</v>
      </c>
      <c r="F39" s="421"/>
      <c r="G39" s="422"/>
      <c r="H39" s="441"/>
      <c r="M39" s="423"/>
      <c r="N39" s="423"/>
      <c r="O39" s="423"/>
    </row>
    <row r="40" spans="1:15" ht="16.7" customHeight="1">
      <c r="A40" s="424">
        <v>11610</v>
      </c>
      <c r="B40" s="425" t="s">
        <v>717</v>
      </c>
      <c r="C40" s="427">
        <v>31283766284</v>
      </c>
      <c r="D40" s="426">
        <v>34144229932</v>
      </c>
      <c r="E40" s="414">
        <f t="shared" si="0"/>
        <v>2860463648</v>
      </c>
      <c r="F40" s="421"/>
      <c r="G40" s="422"/>
      <c r="H40" s="441"/>
      <c r="M40" s="423"/>
      <c r="N40" s="423"/>
      <c r="O40" s="423"/>
    </row>
    <row r="41" spans="1:15" ht="16.7" customHeight="1">
      <c r="A41" s="424">
        <v>11620</v>
      </c>
      <c r="B41" s="425" t="s">
        <v>719</v>
      </c>
      <c r="C41" s="427">
        <v>5309182245</v>
      </c>
      <c r="D41" s="426">
        <v>2845334807</v>
      </c>
      <c r="E41" s="414">
        <f t="shared" si="0"/>
        <v>-2463847438</v>
      </c>
      <c r="F41" s="440"/>
      <c r="G41" s="448"/>
      <c r="H41" s="449">
        <v>275476876788</v>
      </c>
      <c r="M41" s="423"/>
      <c r="N41" s="423"/>
      <c r="O41" s="423"/>
    </row>
    <row r="42" spans="1:15" ht="16.7" customHeight="1">
      <c r="A42" s="424">
        <v>11660</v>
      </c>
      <c r="B42" s="425" t="s">
        <v>1135</v>
      </c>
      <c r="C42" s="83">
        <v>4000000000</v>
      </c>
      <c r="D42" s="426">
        <v>4000000000</v>
      </c>
      <c r="E42" s="414">
        <f t="shared" si="0"/>
        <v>0</v>
      </c>
      <c r="F42" s="431"/>
      <c r="G42" s="450"/>
      <c r="H42" s="409"/>
      <c r="M42" s="423"/>
      <c r="N42" s="423"/>
      <c r="O42" s="423"/>
    </row>
    <row r="43" spans="1:15" ht="16.7" customHeight="1">
      <c r="A43" s="439">
        <v>11650</v>
      </c>
      <c r="B43" s="425" t="s">
        <v>1136</v>
      </c>
      <c r="C43" s="443">
        <v>617907211</v>
      </c>
      <c r="D43" s="426">
        <v>650695834</v>
      </c>
      <c r="E43" s="414">
        <f t="shared" si="0"/>
        <v>32788623</v>
      </c>
      <c r="F43" s="415"/>
      <c r="G43" s="448"/>
      <c r="H43" s="409"/>
      <c r="M43" s="423"/>
      <c r="N43" s="423"/>
      <c r="O43" s="423"/>
    </row>
    <row r="44" spans="1:15" ht="16.7" customHeight="1">
      <c r="A44" s="424">
        <v>11630</v>
      </c>
      <c r="B44" s="425" t="s">
        <v>721</v>
      </c>
      <c r="C44" s="427">
        <v>413156357</v>
      </c>
      <c r="D44" s="426">
        <v>964711072</v>
      </c>
      <c r="E44" s="414">
        <f t="shared" si="0"/>
        <v>551554715</v>
      </c>
      <c r="F44" s="421"/>
      <c r="G44" s="448"/>
      <c r="H44" s="409"/>
      <c r="M44" s="423"/>
      <c r="N44" s="423"/>
      <c r="O44" s="423"/>
    </row>
    <row r="45" spans="1:15" ht="16.7" customHeight="1">
      <c r="A45" s="424">
        <v>11640</v>
      </c>
      <c r="B45" s="425" t="s">
        <v>723</v>
      </c>
      <c r="C45" s="443">
        <v>3390390396</v>
      </c>
      <c r="D45" s="426">
        <v>6000000000</v>
      </c>
      <c r="E45" s="406">
        <f t="shared" si="0"/>
        <v>2609609604</v>
      </c>
      <c r="F45" s="421"/>
      <c r="G45" s="448"/>
      <c r="H45" s="409"/>
      <c r="M45" s="423"/>
      <c r="N45" s="423"/>
      <c r="O45" s="423"/>
    </row>
    <row r="46" spans="1:15" ht="16.7" customHeight="1">
      <c r="A46" s="403"/>
      <c r="B46" s="419" t="s">
        <v>667</v>
      </c>
      <c r="C46" s="430">
        <f>SUM(C39:C45)</f>
        <v>45014402493</v>
      </c>
      <c r="D46" s="430">
        <f>SUM(D39:D45)</f>
        <v>49697204402</v>
      </c>
      <c r="E46" s="406">
        <f t="shared" si="0"/>
        <v>4682801909</v>
      </c>
      <c r="F46" s="451"/>
      <c r="G46" s="448"/>
      <c r="H46" s="409"/>
      <c r="M46" s="423"/>
      <c r="N46" s="452"/>
      <c r="O46" s="423"/>
    </row>
    <row r="47" spans="1:15" ht="16.7" customHeight="1">
      <c r="A47" s="417">
        <v>133</v>
      </c>
      <c r="B47" s="419" t="s">
        <v>725</v>
      </c>
      <c r="C47" s="433"/>
      <c r="D47" s="433"/>
      <c r="E47" s="406"/>
      <c r="F47" s="431"/>
      <c r="G47" s="450"/>
      <c r="H47" s="409"/>
      <c r="M47" s="442"/>
      <c r="N47" s="423"/>
      <c r="O47" s="423"/>
    </row>
    <row r="48" spans="1:15" ht="16.7" customHeight="1">
      <c r="A48" s="424">
        <v>13310</v>
      </c>
      <c r="B48" s="425" t="s">
        <v>727</v>
      </c>
      <c r="C48" s="83"/>
      <c r="D48" s="83"/>
      <c r="E48" s="406"/>
      <c r="F48" s="415"/>
      <c r="G48" s="448"/>
      <c r="H48" s="409"/>
      <c r="M48" s="423"/>
      <c r="N48" s="423"/>
      <c r="O48" s="423"/>
    </row>
    <row r="49" spans="1:15" ht="16.7" customHeight="1">
      <c r="A49" s="424">
        <v>13320</v>
      </c>
      <c r="B49" s="425" t="s">
        <v>729</v>
      </c>
      <c r="C49" s="83"/>
      <c r="D49" s="83"/>
      <c r="E49" s="406"/>
      <c r="F49" s="444"/>
      <c r="G49" s="448"/>
      <c r="H49" s="409"/>
      <c r="M49" s="423"/>
      <c r="N49" s="423"/>
      <c r="O49" s="423"/>
    </row>
    <row r="50" spans="1:15" ht="16.7" customHeight="1">
      <c r="A50" s="424">
        <v>13330</v>
      </c>
      <c r="B50" s="425" t="s">
        <v>731</v>
      </c>
      <c r="C50" s="83">
        <v>24570036572.833302</v>
      </c>
      <c r="D50" s="426">
        <v>26000000000</v>
      </c>
      <c r="E50" s="406">
        <f t="shared" si="0"/>
        <v>1429963427.1666985</v>
      </c>
      <c r="F50" s="451"/>
      <c r="G50" s="448"/>
      <c r="H50" s="409"/>
      <c r="M50" s="423"/>
      <c r="N50" s="423"/>
      <c r="O50" s="423"/>
    </row>
    <row r="51" spans="1:15" ht="16.7" customHeight="1">
      <c r="A51" s="403"/>
      <c r="B51" s="419" t="s">
        <v>667</v>
      </c>
      <c r="C51" s="430">
        <f>SUM(C50)</f>
        <v>24570036572.833302</v>
      </c>
      <c r="D51" s="430">
        <f>SUM(D50)</f>
        <v>26000000000</v>
      </c>
      <c r="E51" s="406">
        <f t="shared" si="0"/>
        <v>1429963427.1666985</v>
      </c>
      <c r="F51" s="451"/>
      <c r="G51" s="448"/>
      <c r="H51" s="409"/>
      <c r="M51" s="423"/>
      <c r="N51" s="423"/>
      <c r="O51" s="423"/>
    </row>
    <row r="52" spans="1:15" ht="16.7" customHeight="1">
      <c r="A52" s="417">
        <v>141</v>
      </c>
      <c r="B52" s="419" t="s">
        <v>946</v>
      </c>
      <c r="C52" s="453"/>
      <c r="D52" s="453"/>
      <c r="E52" s="406"/>
      <c r="F52" s="421"/>
      <c r="G52" s="448"/>
      <c r="H52" s="409"/>
      <c r="M52" s="423"/>
      <c r="N52" s="423"/>
      <c r="O52" s="423"/>
    </row>
    <row r="53" spans="1:15" ht="16.7" customHeight="1">
      <c r="A53" s="424">
        <v>14120</v>
      </c>
      <c r="B53" s="425" t="s">
        <v>737</v>
      </c>
      <c r="C53" s="445">
        <v>0</v>
      </c>
      <c r="D53" s="445"/>
      <c r="E53" s="406"/>
      <c r="F53" s="421"/>
      <c r="G53" s="448"/>
      <c r="H53" s="409"/>
      <c r="M53" s="454"/>
      <c r="N53" s="454"/>
      <c r="O53" s="454"/>
    </row>
    <row r="54" spans="1:15" ht="16.7" customHeight="1">
      <c r="A54" s="424">
        <v>14130</v>
      </c>
      <c r="B54" s="425" t="s">
        <v>739</v>
      </c>
      <c r="C54" s="83">
        <v>4131647676.833374</v>
      </c>
      <c r="D54" s="426">
        <v>36000000000</v>
      </c>
      <c r="E54" s="414">
        <f t="shared" si="0"/>
        <v>31868352323.166626</v>
      </c>
      <c r="F54" s="440"/>
      <c r="G54" s="448"/>
      <c r="M54" s="423"/>
      <c r="N54" s="423"/>
      <c r="O54" s="423"/>
    </row>
    <row r="55" spans="1:15" ht="16.7" customHeight="1">
      <c r="A55" s="424">
        <v>14140</v>
      </c>
      <c r="B55" s="425" t="s">
        <v>741</v>
      </c>
      <c r="C55" s="427">
        <v>2150000000</v>
      </c>
      <c r="D55" s="426">
        <v>2335160018</v>
      </c>
      <c r="E55" s="414">
        <f t="shared" si="0"/>
        <v>185160018</v>
      </c>
      <c r="F55" s="455"/>
      <c r="G55" s="448"/>
      <c r="H55" s="456">
        <f>H53-D82</f>
        <v>-1080000000000</v>
      </c>
      <c r="M55" s="423"/>
      <c r="N55" s="423"/>
      <c r="O55" s="423"/>
    </row>
    <row r="56" spans="1:15" ht="16.7" customHeight="1">
      <c r="A56" s="424">
        <v>14150</v>
      </c>
      <c r="B56" s="425" t="s">
        <v>743</v>
      </c>
      <c r="C56" s="427">
        <v>6521023518</v>
      </c>
      <c r="D56" s="426">
        <v>6855557837</v>
      </c>
      <c r="E56" s="414">
        <f t="shared" si="0"/>
        <v>334534319</v>
      </c>
      <c r="F56" s="457"/>
      <c r="G56" s="448"/>
      <c r="M56" s="423"/>
      <c r="N56" s="423"/>
      <c r="O56" s="423"/>
    </row>
    <row r="57" spans="1:15" ht="16.7" customHeight="1">
      <c r="A57" s="424">
        <v>14160</v>
      </c>
      <c r="B57" s="425" t="s">
        <v>745</v>
      </c>
      <c r="C57" s="427">
        <v>6580900360</v>
      </c>
      <c r="D57" s="426">
        <v>7203532000</v>
      </c>
      <c r="E57" s="414">
        <f t="shared" si="0"/>
        <v>622631640</v>
      </c>
      <c r="F57" s="458"/>
      <c r="G57" s="448"/>
      <c r="M57" s="423"/>
      <c r="N57" s="423"/>
      <c r="O57" s="423"/>
    </row>
    <row r="58" spans="1:15" ht="16.7" customHeight="1">
      <c r="A58" s="424">
        <v>14110</v>
      </c>
      <c r="B58" s="425" t="s">
        <v>733</v>
      </c>
      <c r="C58" s="443">
        <v>45000000000</v>
      </c>
      <c r="D58" s="426">
        <v>45000000000</v>
      </c>
      <c r="E58" s="406">
        <f t="shared" si="0"/>
        <v>0</v>
      </c>
      <c r="F58" s="458"/>
      <c r="G58" s="448"/>
      <c r="M58" s="423"/>
      <c r="N58" s="423"/>
      <c r="O58" s="423"/>
    </row>
    <row r="59" spans="1:15" ht="16.7" customHeight="1">
      <c r="A59" s="403"/>
      <c r="B59" s="419" t="s">
        <v>667</v>
      </c>
      <c r="C59" s="430">
        <f>SUM(C53:C58)</f>
        <v>64383571554.833374</v>
      </c>
      <c r="D59" s="430">
        <f>SUM(D53:D58)</f>
        <v>97394249855</v>
      </c>
      <c r="E59" s="406">
        <f t="shared" si="0"/>
        <v>33010678300.166626</v>
      </c>
      <c r="F59" s="458"/>
      <c r="G59" s="448"/>
      <c r="M59" s="423"/>
      <c r="N59" s="423"/>
      <c r="O59" s="423"/>
    </row>
    <row r="60" spans="1:15" ht="16.7" customHeight="1">
      <c r="A60" s="417">
        <v>142</v>
      </c>
      <c r="B60" s="419" t="s">
        <v>1137</v>
      </c>
      <c r="C60" s="404"/>
      <c r="D60" s="404"/>
      <c r="E60" s="406"/>
      <c r="F60" s="458"/>
      <c r="G60" s="448"/>
      <c r="M60" s="423"/>
      <c r="N60" s="423"/>
      <c r="O60" s="423"/>
    </row>
    <row r="61" spans="1:15" ht="16.7" customHeight="1">
      <c r="A61" s="424">
        <v>14201</v>
      </c>
      <c r="B61" s="425" t="s">
        <v>749</v>
      </c>
      <c r="C61" s="427">
        <v>33242213903</v>
      </c>
      <c r="D61" s="426">
        <v>37952337048</v>
      </c>
      <c r="E61" s="414">
        <f t="shared" si="0"/>
        <v>4710123145</v>
      </c>
      <c r="F61" s="459"/>
      <c r="G61" s="448"/>
      <c r="M61" s="423"/>
      <c r="N61" s="423"/>
      <c r="O61" s="423"/>
    </row>
    <row r="62" spans="1:15" ht="16.7" customHeight="1">
      <c r="A62" s="424">
        <v>14202</v>
      </c>
      <c r="B62" s="425" t="s">
        <v>751</v>
      </c>
      <c r="C62" s="427">
        <v>821107153</v>
      </c>
      <c r="D62" s="426">
        <v>838681012</v>
      </c>
      <c r="E62" s="414">
        <f t="shared" si="0"/>
        <v>17573859</v>
      </c>
      <c r="F62" s="458"/>
      <c r="G62" s="448"/>
      <c r="M62" s="460"/>
      <c r="N62" s="423"/>
      <c r="O62" s="460"/>
    </row>
    <row r="63" spans="1:15" ht="16.7" customHeight="1">
      <c r="A63" s="424">
        <v>14203</v>
      </c>
      <c r="B63" s="425" t="s">
        <v>753</v>
      </c>
      <c r="C63" s="427">
        <v>54285000</v>
      </c>
      <c r="D63" s="427">
        <v>54285000</v>
      </c>
      <c r="E63" s="414">
        <f t="shared" si="0"/>
        <v>0</v>
      </c>
      <c r="F63" s="458"/>
      <c r="G63" s="448"/>
      <c r="M63" s="423"/>
      <c r="N63" s="423"/>
      <c r="O63" s="423"/>
    </row>
    <row r="64" spans="1:15" ht="16.7" customHeight="1">
      <c r="A64" s="424">
        <v>14204</v>
      </c>
      <c r="B64" s="425" t="s">
        <v>947</v>
      </c>
      <c r="C64" s="427">
        <v>12234131106.333334</v>
      </c>
      <c r="D64" s="426">
        <v>15012565125</v>
      </c>
      <c r="E64" s="414">
        <f t="shared" si="0"/>
        <v>2778434018.666666</v>
      </c>
      <c r="F64" s="458"/>
      <c r="G64" s="448"/>
      <c r="M64" s="423"/>
      <c r="N64" s="423"/>
      <c r="O64" s="423"/>
    </row>
    <row r="65" spans="1:20" ht="16.7" customHeight="1">
      <c r="A65" s="424">
        <v>14205</v>
      </c>
      <c r="B65" s="425" t="s">
        <v>949</v>
      </c>
      <c r="C65" s="427">
        <v>3000000000</v>
      </c>
      <c r="D65" s="427">
        <v>3000000000</v>
      </c>
      <c r="E65" s="414">
        <f t="shared" si="0"/>
        <v>0</v>
      </c>
      <c r="F65" s="421"/>
      <c r="G65" s="448"/>
      <c r="M65" s="423"/>
      <c r="N65" s="423"/>
      <c r="O65" s="423"/>
    </row>
    <row r="66" spans="1:20" ht="16.7" customHeight="1">
      <c r="A66" s="424">
        <v>14206</v>
      </c>
      <c r="B66" s="425" t="s">
        <v>757</v>
      </c>
      <c r="C66" s="427">
        <v>2942025900</v>
      </c>
      <c r="D66" s="427">
        <v>2942025900</v>
      </c>
      <c r="E66" s="414">
        <f t="shared" si="0"/>
        <v>0</v>
      </c>
      <c r="F66" s="421"/>
      <c r="G66" s="448"/>
      <c r="M66" s="423"/>
      <c r="N66" s="423"/>
      <c r="O66" s="423"/>
    </row>
    <row r="67" spans="1:20" ht="16.7" customHeight="1">
      <c r="A67" s="424">
        <v>14207</v>
      </c>
      <c r="B67" s="425" t="s">
        <v>759</v>
      </c>
      <c r="C67" s="427">
        <v>1619170238</v>
      </c>
      <c r="D67" s="426">
        <v>3000000000</v>
      </c>
      <c r="E67" s="414">
        <f t="shared" si="0"/>
        <v>1380829762</v>
      </c>
      <c r="F67" s="421"/>
      <c r="G67" s="448"/>
      <c r="M67" s="423"/>
      <c r="N67" s="423"/>
      <c r="O67" s="423"/>
    </row>
    <row r="68" spans="1:20" ht="16.7" customHeight="1">
      <c r="A68" s="424">
        <v>14208</v>
      </c>
      <c r="B68" s="425" t="s">
        <v>1138</v>
      </c>
      <c r="C68" s="427">
        <v>4710608101</v>
      </c>
      <c r="D68" s="426">
        <v>4214993113</v>
      </c>
      <c r="E68" s="414">
        <f t="shared" si="0"/>
        <v>-495614988</v>
      </c>
      <c r="F68" s="440"/>
      <c r="G68" s="448"/>
      <c r="H68" s="461">
        <f>F69-F68+C71</f>
        <v>255494384</v>
      </c>
      <c r="M68" s="423"/>
      <c r="N68" s="423"/>
      <c r="O68" s="423"/>
    </row>
    <row r="69" spans="1:20" ht="16.7" customHeight="1">
      <c r="A69" s="424">
        <v>14209</v>
      </c>
      <c r="B69" s="425" t="s">
        <v>1139</v>
      </c>
      <c r="C69" s="447">
        <v>0</v>
      </c>
      <c r="D69" s="447">
        <v>0</v>
      </c>
      <c r="E69" s="414">
        <f t="shared" ref="E69:E82" si="1">D69-C69</f>
        <v>0</v>
      </c>
      <c r="F69" s="455"/>
      <c r="G69" s="450"/>
      <c r="M69" s="423"/>
      <c r="N69" s="423"/>
      <c r="O69" s="423"/>
    </row>
    <row r="70" spans="1:20" ht="16.7" customHeight="1">
      <c r="A70" s="424">
        <v>14210</v>
      </c>
      <c r="B70" s="425" t="s">
        <v>763</v>
      </c>
      <c r="C70" s="83">
        <v>0</v>
      </c>
      <c r="D70" s="83">
        <v>0</v>
      </c>
      <c r="E70" s="414">
        <f t="shared" si="1"/>
        <v>0</v>
      </c>
      <c r="F70" s="458"/>
      <c r="G70" s="448"/>
      <c r="M70" s="460"/>
      <c r="N70" s="423"/>
      <c r="O70" s="423"/>
    </row>
    <row r="71" spans="1:20" ht="16.7" customHeight="1">
      <c r="A71" s="424">
        <v>14211</v>
      </c>
      <c r="B71" s="425" t="s">
        <v>1140</v>
      </c>
      <c r="C71" s="83">
        <v>255494384</v>
      </c>
      <c r="D71" s="426">
        <v>600000000</v>
      </c>
      <c r="E71" s="414">
        <f t="shared" si="1"/>
        <v>344505616</v>
      </c>
      <c r="F71" s="458"/>
      <c r="G71" s="448"/>
      <c r="M71" s="423"/>
      <c r="N71" s="423"/>
      <c r="O71" s="423"/>
    </row>
    <row r="72" spans="1:20" ht="16.7" customHeight="1">
      <c r="A72" s="424">
        <v>14212</v>
      </c>
      <c r="B72" s="425" t="s">
        <v>1141</v>
      </c>
      <c r="C72" s="447">
        <v>0</v>
      </c>
      <c r="D72" s="462">
        <v>0</v>
      </c>
      <c r="E72" s="414"/>
      <c r="F72" s="463"/>
      <c r="G72" s="448"/>
      <c r="M72" s="423"/>
      <c r="N72" s="423"/>
      <c r="O72" s="423"/>
    </row>
    <row r="73" spans="1:20" ht="16.7" customHeight="1">
      <c r="A73" s="424">
        <v>14213</v>
      </c>
      <c r="B73" s="425" t="s">
        <v>767</v>
      </c>
      <c r="C73" s="83">
        <v>0</v>
      </c>
      <c r="D73" s="83">
        <v>0</v>
      </c>
      <c r="E73" s="406"/>
      <c r="F73" s="455"/>
      <c r="G73" s="448"/>
      <c r="M73" s="423"/>
      <c r="N73" s="423"/>
      <c r="O73" s="423"/>
    </row>
    <row r="74" spans="1:20" ht="16.7" customHeight="1">
      <c r="A74" s="403"/>
      <c r="B74" s="419" t="s">
        <v>667</v>
      </c>
      <c r="C74" s="430">
        <f>SUM(C61:C73)</f>
        <v>58879035785.333336</v>
      </c>
      <c r="D74" s="430">
        <f>SUM(D61:D73)</f>
        <v>67614887198</v>
      </c>
      <c r="E74" s="406">
        <f t="shared" si="1"/>
        <v>8735851412.6666641</v>
      </c>
      <c r="F74" s="460"/>
      <c r="G74" s="448"/>
      <c r="M74" s="423"/>
      <c r="N74" s="423"/>
      <c r="O74" s="423"/>
    </row>
    <row r="75" spans="1:20" s="465" customFormat="1" ht="16.7" customHeight="1">
      <c r="A75" s="417">
        <v>143</v>
      </c>
      <c r="B75" s="419" t="s">
        <v>1142</v>
      </c>
      <c r="C75" s="412"/>
      <c r="D75" s="412"/>
      <c r="E75" s="406">
        <f t="shared" si="1"/>
        <v>0</v>
      </c>
      <c r="F75" s="421"/>
      <c r="G75" s="448"/>
      <c r="H75" s="464"/>
      <c r="I75" s="464"/>
      <c r="J75" s="464"/>
      <c r="K75" s="464"/>
      <c r="L75" s="464"/>
      <c r="M75" s="452"/>
      <c r="N75" s="452"/>
      <c r="O75" s="452"/>
      <c r="P75" s="464"/>
      <c r="Q75" s="464"/>
      <c r="R75" s="464"/>
      <c r="S75" s="464"/>
      <c r="T75" s="464"/>
    </row>
    <row r="76" spans="1:20" ht="16.7" customHeight="1">
      <c r="A76" s="424">
        <v>14310</v>
      </c>
      <c r="B76" s="425" t="s">
        <v>773</v>
      </c>
      <c r="C76" s="427">
        <v>3466278853</v>
      </c>
      <c r="D76" s="426">
        <v>3663788180</v>
      </c>
      <c r="E76" s="414">
        <f t="shared" si="1"/>
        <v>197509327</v>
      </c>
      <c r="F76" s="421"/>
      <c r="G76" s="448"/>
      <c r="M76" s="423"/>
      <c r="N76" s="423"/>
      <c r="O76" s="423"/>
    </row>
    <row r="77" spans="1:20" ht="16.7" customHeight="1">
      <c r="A77" s="424">
        <v>14330</v>
      </c>
      <c r="B77" s="425" t="s">
        <v>775</v>
      </c>
      <c r="C77" s="428">
        <v>232362240</v>
      </c>
      <c r="D77" s="426">
        <v>600000000</v>
      </c>
      <c r="E77" s="406">
        <f t="shared" si="1"/>
        <v>367637760</v>
      </c>
      <c r="F77" s="421"/>
      <c r="G77" s="448"/>
      <c r="M77" s="423"/>
      <c r="N77" s="423"/>
      <c r="O77" s="423"/>
    </row>
    <row r="78" spans="1:20" ht="16.7" customHeight="1">
      <c r="A78" s="403"/>
      <c r="B78" s="466" t="s">
        <v>667</v>
      </c>
      <c r="C78" s="430">
        <f>SUM(C76:C77)</f>
        <v>3698641093</v>
      </c>
      <c r="D78" s="430">
        <f>SUM(D76:D77)</f>
        <v>4263788180</v>
      </c>
      <c r="E78" s="406">
        <f t="shared" si="1"/>
        <v>565147087</v>
      </c>
      <c r="F78" s="440"/>
      <c r="G78" s="448"/>
      <c r="M78" s="423"/>
      <c r="N78" s="423"/>
      <c r="O78" s="423"/>
    </row>
    <row r="79" spans="1:20" ht="16.7" customHeight="1">
      <c r="A79" s="417">
        <v>144</v>
      </c>
      <c r="B79" s="419" t="s">
        <v>777</v>
      </c>
      <c r="C79" s="420"/>
      <c r="D79" s="420"/>
      <c r="E79" s="406"/>
      <c r="F79" s="440"/>
      <c r="G79" s="448"/>
      <c r="M79" s="423"/>
      <c r="N79" s="423"/>
      <c r="O79" s="423"/>
    </row>
    <row r="80" spans="1:20" s="465" customFormat="1" ht="16.7" customHeight="1">
      <c r="A80" s="467">
        <v>12110</v>
      </c>
      <c r="B80" s="419" t="s">
        <v>1143</v>
      </c>
      <c r="C80" s="306">
        <v>24333605149</v>
      </c>
      <c r="D80" s="306">
        <v>32990782398</v>
      </c>
      <c r="E80" s="414">
        <f t="shared" si="1"/>
        <v>8657177249</v>
      </c>
      <c r="F80" s="468"/>
      <c r="G80" s="448"/>
      <c r="H80" s="464"/>
      <c r="I80" s="464"/>
      <c r="J80" s="464"/>
      <c r="K80" s="464"/>
      <c r="L80" s="464"/>
      <c r="M80" s="452"/>
      <c r="N80" s="452"/>
      <c r="O80" s="452"/>
      <c r="P80" s="464"/>
      <c r="Q80" s="464"/>
      <c r="R80" s="464"/>
      <c r="S80" s="464"/>
      <c r="T80" s="464"/>
    </row>
    <row r="81" spans="1:15" ht="16.7" customHeight="1">
      <c r="A81" s="403"/>
      <c r="B81" s="419" t="s">
        <v>667</v>
      </c>
      <c r="C81" s="469">
        <f>C80+C78+C74+C59+C51+C46+C37+C29+C17+C11+C8</f>
        <v>881535595946</v>
      </c>
      <c r="D81" s="469">
        <f>D80+D78+D74+D59+D51+D46+D37+D29+D17+D11+D8</f>
        <v>1019630130034</v>
      </c>
      <c r="E81" s="406">
        <f t="shared" si="1"/>
        <v>138094534088</v>
      </c>
      <c r="F81" s="470"/>
      <c r="G81" s="450"/>
      <c r="M81" s="423"/>
      <c r="N81" s="423"/>
      <c r="O81" s="423"/>
    </row>
    <row r="82" spans="1:15" ht="16.7" customHeight="1">
      <c r="A82" s="403"/>
      <c r="B82" s="419" t="s">
        <v>778</v>
      </c>
      <c r="C82" s="471">
        <f>C81+C2</f>
        <v>912000000000</v>
      </c>
      <c r="D82" s="471">
        <f>D81+D2</f>
        <v>1080000000000</v>
      </c>
      <c r="E82" s="406">
        <f t="shared" si="1"/>
        <v>168000000000</v>
      </c>
      <c r="F82" s="472"/>
      <c r="G82" s="449"/>
      <c r="M82" s="460"/>
      <c r="N82" s="460"/>
      <c r="O82" s="460"/>
    </row>
  </sheetData>
  <pageMargins left="0.7" right="0.7" top="0.75" bottom="0.75" header="0.3" footer="0.3"/>
  <pageSetup scale="50" orientation="portrait" r:id="rId1"/>
  <headerFooter>
    <oddHeader>&amp;C&amp;"Times New Roman,Bold"&amp;36DAKHLIGA GUUD EE MIISAANIYADA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55"/>
  <sheetViews>
    <sheetView view="pageBreakPreview" zoomScale="60" workbookViewId="0">
      <selection activeCell="Z17" sqref="Z17"/>
    </sheetView>
  </sheetViews>
  <sheetFormatPr defaultRowHeight="24.95" customHeight="1"/>
  <cols>
    <col min="1" max="1" width="15.5" style="494" customWidth="1"/>
    <col min="2" max="2" width="79" style="494" customWidth="1"/>
    <col min="3" max="3" width="16.1640625" style="494" hidden="1" customWidth="1"/>
    <col min="4" max="4" width="17" style="494" hidden="1" customWidth="1"/>
    <col min="5" max="5" width="18" style="494" hidden="1" customWidth="1"/>
    <col min="6" max="6" width="16.83203125" style="494" hidden="1" customWidth="1"/>
    <col min="7" max="7" width="26" style="494" hidden="1" customWidth="1"/>
    <col min="8" max="8" width="25.5" style="494" hidden="1" customWidth="1"/>
    <col min="9" max="9" width="24.1640625" style="494" hidden="1" customWidth="1"/>
    <col min="10" max="10" width="28.6640625" style="494" hidden="1" customWidth="1"/>
    <col min="11" max="11" width="0.5" style="494" hidden="1" customWidth="1"/>
    <col min="12" max="13" width="28" style="494" hidden="1" customWidth="1"/>
    <col min="14" max="14" width="0.1640625" style="494" hidden="1" customWidth="1"/>
    <col min="15" max="15" width="29.83203125" style="494" hidden="1" customWidth="1"/>
    <col min="16" max="16" width="29.5" style="496" hidden="1" customWidth="1"/>
    <col min="17" max="17" width="30.83203125" style="496" hidden="1" customWidth="1"/>
    <col min="18" max="20" width="29.83203125" style="496" customWidth="1"/>
    <col min="21" max="16384" width="9.33203125" style="399"/>
  </cols>
  <sheetData>
    <row r="1" spans="1:20" ht="24.95" customHeight="1">
      <c r="A1" s="303" t="s">
        <v>39</v>
      </c>
      <c r="B1" s="490" t="s">
        <v>1311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92"/>
      <c r="Q1" s="292"/>
      <c r="R1" s="292"/>
      <c r="S1" s="292"/>
      <c r="T1" s="292"/>
    </row>
    <row r="2" spans="1:20" ht="24.95" customHeight="1">
      <c r="A2" s="476" t="s">
        <v>25</v>
      </c>
      <c r="B2" s="303" t="s">
        <v>26</v>
      </c>
      <c r="C2" s="286" t="s">
        <v>38</v>
      </c>
      <c r="D2" s="286" t="s">
        <v>2</v>
      </c>
      <c r="E2" s="286" t="s">
        <v>43</v>
      </c>
      <c r="F2" s="286" t="s">
        <v>46</v>
      </c>
      <c r="G2" s="286" t="s">
        <v>55</v>
      </c>
      <c r="H2" s="286" t="s">
        <v>63</v>
      </c>
      <c r="I2" s="286" t="s">
        <v>103</v>
      </c>
      <c r="J2" s="286" t="s">
        <v>107</v>
      </c>
      <c r="K2" s="286" t="s">
        <v>115</v>
      </c>
      <c r="L2" s="286" t="s">
        <v>151</v>
      </c>
      <c r="M2" s="286" t="s">
        <v>257</v>
      </c>
      <c r="N2" s="286" t="s">
        <v>440</v>
      </c>
      <c r="O2" s="286" t="s">
        <v>806</v>
      </c>
      <c r="P2" s="286" t="s">
        <v>872</v>
      </c>
      <c r="Q2" s="286" t="s">
        <v>972</v>
      </c>
      <c r="R2" s="286" t="s">
        <v>1159</v>
      </c>
      <c r="S2" s="286" t="s">
        <v>1319</v>
      </c>
      <c r="T2" s="286" t="s">
        <v>47</v>
      </c>
    </row>
    <row r="3" spans="1:20" ht="24.95" customHeight="1">
      <c r="A3" s="476">
        <v>210</v>
      </c>
      <c r="B3" s="280" t="s">
        <v>137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24.95" customHeight="1">
      <c r="A4" s="476">
        <v>2110</v>
      </c>
      <c r="B4" s="280" t="s">
        <v>213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24.95" customHeight="1">
      <c r="A5" s="392">
        <v>21101</v>
      </c>
      <c r="B5" s="246" t="s">
        <v>28</v>
      </c>
      <c r="C5" s="246">
        <v>63105000</v>
      </c>
      <c r="D5" s="246">
        <v>74712000</v>
      </c>
      <c r="E5" s="246">
        <v>74712000</v>
      </c>
      <c r="F5" s="246">
        <v>74712000</v>
      </c>
      <c r="G5" s="274">
        <v>79812000</v>
      </c>
      <c r="H5" s="274">
        <v>79812000</v>
      </c>
      <c r="I5" s="274">
        <v>127296000</v>
      </c>
      <c r="J5" s="274">
        <v>150836400</v>
      </c>
      <c r="K5" s="274">
        <v>150836400</v>
      </c>
      <c r="L5" s="274">
        <v>150836400</v>
      </c>
      <c r="M5" s="274">
        <f>shaqaalaha2011!H5</f>
        <v>216902400</v>
      </c>
      <c r="N5" s="274">
        <v>260988000</v>
      </c>
      <c r="O5" s="274">
        <v>256464000</v>
      </c>
      <c r="P5" s="274">
        <v>375448320</v>
      </c>
      <c r="Q5" s="274">
        <v>375448320</v>
      </c>
      <c r="R5" s="274">
        <v>539922240</v>
      </c>
      <c r="S5" s="274">
        <v>748642752</v>
      </c>
      <c r="T5" s="274">
        <f>S5-R5</f>
        <v>208720512</v>
      </c>
    </row>
    <row r="6" spans="1:20" ht="24.95" customHeight="1">
      <c r="A6" s="392">
        <v>21102</v>
      </c>
      <c r="B6" s="246" t="s">
        <v>396</v>
      </c>
      <c r="C6" s="246">
        <v>1180900</v>
      </c>
      <c r="D6" s="246">
        <v>0</v>
      </c>
      <c r="E6" s="246">
        <v>0</v>
      </c>
      <c r="F6" s="246">
        <v>0</v>
      </c>
      <c r="G6" s="274">
        <v>0</v>
      </c>
      <c r="H6" s="485">
        <v>0</v>
      </c>
      <c r="I6" s="485">
        <v>0</v>
      </c>
      <c r="J6" s="485">
        <v>0</v>
      </c>
      <c r="K6" s="485">
        <v>0</v>
      </c>
      <c r="L6" s="485">
        <v>0</v>
      </c>
      <c r="M6" s="485">
        <v>7332000000</v>
      </c>
      <c r="N6" s="485">
        <v>7332000000</v>
      </c>
      <c r="O6" s="485">
        <v>7176000000</v>
      </c>
      <c r="P6" s="485">
        <v>7176000000</v>
      </c>
      <c r="Q6" s="485">
        <v>7176000000</v>
      </c>
      <c r="R6" s="485">
        <v>7176000000</v>
      </c>
      <c r="S6" s="485">
        <v>7098000000</v>
      </c>
      <c r="T6" s="274">
        <f t="shared" ref="T6:T52" si="0">S6-R6</f>
        <v>-78000000</v>
      </c>
    </row>
    <row r="7" spans="1:20" ht="24.95" customHeight="1">
      <c r="A7" s="392">
        <v>21103</v>
      </c>
      <c r="B7" s="246" t="s">
        <v>808</v>
      </c>
      <c r="C7" s="246">
        <v>1150222000</v>
      </c>
      <c r="D7" s="246">
        <v>1283252000</v>
      </c>
      <c r="E7" s="246">
        <v>1283252000</v>
      </c>
      <c r="F7" s="246">
        <f>2043452000+1200000</f>
        <v>2044652000</v>
      </c>
      <c r="G7" s="274">
        <f>2044652000+400000000</f>
        <v>2444652000</v>
      </c>
      <c r="H7" s="274">
        <v>2650428000</v>
      </c>
      <c r="I7" s="274">
        <v>2939364000</v>
      </c>
      <c r="J7" s="274">
        <v>2940564000</v>
      </c>
      <c r="K7" s="274">
        <f>2940564000+30288000+30288000</f>
        <v>3001140000</v>
      </c>
      <c r="L7" s="274">
        <v>3031428000</v>
      </c>
      <c r="M7" s="274">
        <v>1946100000</v>
      </c>
      <c r="N7" s="274">
        <v>2015700000</v>
      </c>
      <c r="O7" s="274">
        <v>1999500000</v>
      </c>
      <c r="P7" s="274">
        <v>2099100000</v>
      </c>
      <c r="Q7" s="274">
        <v>2099100000</v>
      </c>
      <c r="R7" s="281">
        <v>2135100000</v>
      </c>
      <c r="S7" s="281">
        <v>2115600000</v>
      </c>
      <c r="T7" s="274">
        <f t="shared" si="0"/>
        <v>-19500000</v>
      </c>
    </row>
    <row r="8" spans="1:20" ht="24.95" customHeight="1">
      <c r="A8" s="392">
        <v>21105</v>
      </c>
      <c r="B8" s="246" t="s">
        <v>526</v>
      </c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6">
        <v>90864000</v>
      </c>
      <c r="N8" s="246">
        <v>121152000</v>
      </c>
      <c r="O8" s="246">
        <v>121152000</v>
      </c>
      <c r="P8" s="246">
        <v>181728000</v>
      </c>
      <c r="Q8" s="246">
        <v>6940000000</v>
      </c>
      <c r="R8" s="246">
        <v>9312672000</v>
      </c>
      <c r="S8" s="246">
        <v>12004680000</v>
      </c>
      <c r="T8" s="274">
        <f t="shared" si="0"/>
        <v>2692008000</v>
      </c>
    </row>
    <row r="9" spans="1:20" ht="24.95" customHeight="1">
      <c r="A9" s="476">
        <v>2120</v>
      </c>
      <c r="B9" s="280" t="s">
        <v>218</v>
      </c>
      <c r="C9" s="246"/>
      <c r="D9" s="246"/>
      <c r="E9" s="246"/>
      <c r="F9" s="246"/>
      <c r="G9" s="246"/>
      <c r="H9" s="249"/>
      <c r="I9" s="249"/>
      <c r="J9" s="249"/>
      <c r="K9" s="249">
        <v>0</v>
      </c>
      <c r="L9" s="249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74">
        <f t="shared" si="0"/>
        <v>0</v>
      </c>
    </row>
    <row r="10" spans="1:20" ht="24.95" customHeight="1">
      <c r="A10" s="392">
        <v>21203</v>
      </c>
      <c r="B10" s="246" t="s">
        <v>223</v>
      </c>
      <c r="C10" s="246">
        <v>0</v>
      </c>
      <c r="D10" s="246">
        <v>0</v>
      </c>
      <c r="E10" s="246">
        <v>0</v>
      </c>
      <c r="F10" s="246">
        <v>0</v>
      </c>
      <c r="G10" s="246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74">
        <f t="shared" si="0"/>
        <v>0</v>
      </c>
    </row>
    <row r="11" spans="1:20" ht="24.95" customHeight="1">
      <c r="A11" s="392"/>
      <c r="B11" s="280" t="s">
        <v>92</v>
      </c>
      <c r="C11" s="280"/>
      <c r="D11" s="280"/>
      <c r="E11" s="280"/>
      <c r="F11" s="280"/>
      <c r="G11" s="280">
        <f t="shared" ref="G11:S11" si="1">SUM(G5:G10)</f>
        <v>2524464000</v>
      </c>
      <c r="H11" s="285">
        <f t="shared" si="1"/>
        <v>2730240000</v>
      </c>
      <c r="I11" s="285">
        <f t="shared" si="1"/>
        <v>3066660000</v>
      </c>
      <c r="J11" s="285">
        <f t="shared" si="1"/>
        <v>3091400400</v>
      </c>
      <c r="K11" s="285">
        <f t="shared" si="1"/>
        <v>3151976400</v>
      </c>
      <c r="L11" s="285">
        <f t="shared" si="1"/>
        <v>3182264400</v>
      </c>
      <c r="M11" s="285">
        <f t="shared" si="1"/>
        <v>9585866400</v>
      </c>
      <c r="N11" s="285">
        <f t="shared" si="1"/>
        <v>9729840000</v>
      </c>
      <c r="O11" s="285">
        <f t="shared" si="1"/>
        <v>9553116000</v>
      </c>
      <c r="P11" s="285">
        <f t="shared" si="1"/>
        <v>9832276320</v>
      </c>
      <c r="Q11" s="285">
        <f t="shared" si="1"/>
        <v>16590548320</v>
      </c>
      <c r="R11" s="285">
        <f t="shared" si="1"/>
        <v>19163694240</v>
      </c>
      <c r="S11" s="285">
        <f t="shared" si="1"/>
        <v>21966922752</v>
      </c>
      <c r="T11" s="279">
        <f t="shared" si="0"/>
        <v>2803228512</v>
      </c>
    </row>
    <row r="12" spans="1:20" ht="24.95" customHeight="1">
      <c r="A12" s="476">
        <v>220</v>
      </c>
      <c r="B12" s="280" t="s">
        <v>225</v>
      </c>
      <c r="C12" s="280"/>
      <c r="D12" s="280"/>
      <c r="E12" s="280"/>
      <c r="F12" s="280"/>
      <c r="G12" s="280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849"/>
      <c r="T12" s="274">
        <f t="shared" si="0"/>
        <v>0</v>
      </c>
    </row>
    <row r="13" spans="1:20" s="492" customFormat="1" ht="24.95" customHeight="1">
      <c r="A13" s="476">
        <v>2210</v>
      </c>
      <c r="B13" s="280" t="s">
        <v>226</v>
      </c>
      <c r="C13" s="246"/>
      <c r="D13" s="246"/>
      <c r="E13" s="246"/>
      <c r="F13" s="246"/>
      <c r="G13" s="246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848"/>
      <c r="T13" s="274">
        <f t="shared" si="0"/>
        <v>0</v>
      </c>
    </row>
    <row r="14" spans="1:20" s="493" customFormat="1" ht="24.95" customHeight="1">
      <c r="A14" s="392">
        <v>22101</v>
      </c>
      <c r="B14" s="246" t="s">
        <v>33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9">
        <v>0</v>
      </c>
      <c r="I14" s="249">
        <v>0</v>
      </c>
      <c r="J14" s="249">
        <v>0</v>
      </c>
      <c r="K14" s="249">
        <v>55000000</v>
      </c>
      <c r="L14" s="249">
        <v>55000000</v>
      </c>
      <c r="M14" s="249">
        <f>100000000</f>
        <v>100000000</v>
      </c>
      <c r="N14" s="249">
        <f>100000000</f>
        <v>100000000</v>
      </c>
      <c r="O14" s="249">
        <f>100000000</f>
        <v>100000000</v>
      </c>
      <c r="P14" s="249">
        <v>210000000</v>
      </c>
      <c r="Q14" s="249">
        <v>0</v>
      </c>
      <c r="R14" s="249">
        <v>210000000</v>
      </c>
      <c r="S14" s="848">
        <v>210000000</v>
      </c>
      <c r="T14" s="274">
        <f t="shared" si="0"/>
        <v>0</v>
      </c>
    </row>
    <row r="15" spans="1:20" ht="24.95" customHeight="1">
      <c r="A15" s="392">
        <v>22102</v>
      </c>
      <c r="B15" s="246" t="s">
        <v>124</v>
      </c>
      <c r="C15" s="246">
        <v>54000000</v>
      </c>
      <c r="D15" s="246">
        <v>64000000</v>
      </c>
      <c r="E15" s="246">
        <v>64000000</v>
      </c>
      <c r="F15" s="246">
        <v>81577000</v>
      </c>
      <c r="G15" s="246">
        <v>82800000</v>
      </c>
      <c r="H15" s="249">
        <v>141500000</v>
      </c>
      <c r="I15" s="249">
        <v>200000000</v>
      </c>
      <c r="J15" s="249">
        <v>275000000</v>
      </c>
      <c r="K15" s="249">
        <v>50000000</v>
      </c>
      <c r="L15" s="249">
        <v>50000000</v>
      </c>
      <c r="M15" s="249">
        <f>150000000</f>
        <v>150000000</v>
      </c>
      <c r="N15" s="249">
        <v>110000000</v>
      </c>
      <c r="O15" s="249">
        <v>110000000</v>
      </c>
      <c r="P15" s="249">
        <v>0</v>
      </c>
      <c r="Q15" s="249">
        <v>0</v>
      </c>
      <c r="R15" s="249">
        <v>0</v>
      </c>
      <c r="S15" s="848">
        <v>0</v>
      </c>
      <c r="T15" s="274">
        <f t="shared" si="0"/>
        <v>0</v>
      </c>
    </row>
    <row r="16" spans="1:20" ht="24.95" customHeight="1">
      <c r="A16" s="392">
        <v>22103</v>
      </c>
      <c r="B16" s="246" t="s">
        <v>125</v>
      </c>
      <c r="C16" s="246">
        <v>16743000</v>
      </c>
      <c r="D16" s="246">
        <v>16743600</v>
      </c>
      <c r="E16" s="246">
        <v>16743600</v>
      </c>
      <c r="F16" s="246">
        <v>16743600</v>
      </c>
      <c r="G16" s="246">
        <v>13394400</v>
      </c>
      <c r="H16" s="249">
        <v>36743000</v>
      </c>
      <c r="I16" s="249">
        <v>56000000</v>
      </c>
      <c r="J16" s="249">
        <v>70000000</v>
      </c>
      <c r="K16" s="249">
        <v>0</v>
      </c>
      <c r="L16" s="249">
        <v>0</v>
      </c>
      <c r="M16" s="249">
        <f>120000000</f>
        <v>120000000</v>
      </c>
      <c r="N16" s="249">
        <f>M16*70%</f>
        <v>84000000</v>
      </c>
      <c r="O16" s="249">
        <v>84000000</v>
      </c>
      <c r="P16" s="249">
        <v>84000000</v>
      </c>
      <c r="Q16" s="249">
        <v>0</v>
      </c>
      <c r="R16" s="249">
        <v>84000000</v>
      </c>
      <c r="S16" s="848">
        <v>204000000</v>
      </c>
      <c r="T16" s="274">
        <f t="shared" si="0"/>
        <v>120000000</v>
      </c>
    </row>
    <row r="17" spans="1:20" ht="24.95" customHeight="1">
      <c r="A17" s="392">
        <v>22104</v>
      </c>
      <c r="B17" s="246" t="s">
        <v>157</v>
      </c>
      <c r="C17" s="246">
        <v>5500000</v>
      </c>
      <c r="D17" s="246">
        <v>5500000</v>
      </c>
      <c r="E17" s="246">
        <v>5500000</v>
      </c>
      <c r="F17" s="246">
        <v>5500000</v>
      </c>
      <c r="G17" s="246">
        <v>6400000</v>
      </c>
      <c r="H17" s="249">
        <v>16000000</v>
      </c>
      <c r="I17" s="249">
        <v>30000000</v>
      </c>
      <c r="J17" s="249">
        <v>35000000</v>
      </c>
      <c r="K17" s="249">
        <v>63000000</v>
      </c>
      <c r="L17" s="249">
        <v>113000000</v>
      </c>
      <c r="M17" s="249">
        <f>200000000</f>
        <v>200000000</v>
      </c>
      <c r="N17" s="249">
        <f>200000000</f>
        <v>200000000</v>
      </c>
      <c r="O17" s="249">
        <f>200000000</f>
        <v>200000000</v>
      </c>
      <c r="P17" s="249">
        <f>200000000</f>
        <v>200000000</v>
      </c>
      <c r="Q17" s="249">
        <v>200000000</v>
      </c>
      <c r="R17" s="249">
        <v>200000000</v>
      </c>
      <c r="S17" s="848">
        <v>200000000</v>
      </c>
      <c r="T17" s="274">
        <f t="shared" si="0"/>
        <v>0</v>
      </c>
    </row>
    <row r="18" spans="1:20" ht="24.95" customHeight="1">
      <c r="A18" s="392">
        <v>22105</v>
      </c>
      <c r="B18" s="246" t="s">
        <v>135</v>
      </c>
      <c r="C18" s="246"/>
      <c r="D18" s="246"/>
      <c r="E18" s="246"/>
      <c r="F18" s="246"/>
      <c r="G18" s="246"/>
      <c r="H18" s="249"/>
      <c r="I18" s="249"/>
      <c r="J18" s="249"/>
      <c r="K18" s="249">
        <v>46800000</v>
      </c>
      <c r="L18" s="249">
        <v>46800000</v>
      </c>
      <c r="M18" s="249">
        <f>62400000</f>
        <v>62400000</v>
      </c>
      <c r="N18" s="249">
        <f>62400000</f>
        <v>62400000</v>
      </c>
      <c r="O18" s="249">
        <f>62400000</f>
        <v>62400000</v>
      </c>
      <c r="P18" s="249">
        <f>62400000</f>
        <v>62400000</v>
      </c>
      <c r="Q18" s="249">
        <v>386000000</v>
      </c>
      <c r="R18" s="249">
        <f>Q18</f>
        <v>386000000</v>
      </c>
      <c r="S18" s="848">
        <v>0</v>
      </c>
      <c r="T18" s="274">
        <f t="shared" si="0"/>
        <v>-386000000</v>
      </c>
    </row>
    <row r="19" spans="1:20" ht="24.95" customHeight="1">
      <c r="A19" s="392">
        <v>22106</v>
      </c>
      <c r="B19" s="246" t="s">
        <v>126</v>
      </c>
      <c r="C19" s="246"/>
      <c r="D19" s="246"/>
      <c r="E19" s="246"/>
      <c r="F19" s="246"/>
      <c r="G19" s="246"/>
      <c r="H19" s="249"/>
      <c r="I19" s="249"/>
      <c r="J19" s="249"/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848">
        <v>0</v>
      </c>
      <c r="T19" s="274">
        <f t="shared" si="0"/>
        <v>0</v>
      </c>
    </row>
    <row r="20" spans="1:20" ht="24.95" customHeight="1">
      <c r="A20" s="392">
        <v>22107</v>
      </c>
      <c r="B20" s="246" t="s">
        <v>48</v>
      </c>
      <c r="C20" s="246"/>
      <c r="D20" s="246"/>
      <c r="E20" s="246"/>
      <c r="F20" s="246"/>
      <c r="G20" s="246"/>
      <c r="H20" s="249"/>
      <c r="I20" s="249"/>
      <c r="J20" s="249"/>
      <c r="K20" s="249">
        <v>45000000</v>
      </c>
      <c r="L20" s="249">
        <v>45000000</v>
      </c>
      <c r="M20" s="249">
        <f>100000000</f>
        <v>100000000</v>
      </c>
      <c r="N20" s="249">
        <f>M20*70%</f>
        <v>70000000</v>
      </c>
      <c r="O20" s="249">
        <v>70000000</v>
      </c>
      <c r="P20" s="249">
        <v>70000000</v>
      </c>
      <c r="Q20" s="249">
        <v>30000000</v>
      </c>
      <c r="R20" s="249">
        <v>70000000</v>
      </c>
      <c r="S20" s="848">
        <v>70000000</v>
      </c>
      <c r="T20" s="274">
        <f t="shared" si="0"/>
        <v>0</v>
      </c>
    </row>
    <row r="21" spans="1:20" ht="24.95" customHeight="1">
      <c r="A21" s="392">
        <v>22108</v>
      </c>
      <c r="B21" s="246" t="s">
        <v>93</v>
      </c>
      <c r="C21" s="246"/>
      <c r="D21" s="246"/>
      <c r="E21" s="246"/>
      <c r="F21" s="246"/>
      <c r="G21" s="246"/>
      <c r="H21" s="249"/>
      <c r="I21" s="249"/>
      <c r="J21" s="249"/>
      <c r="K21" s="249">
        <v>400000000</v>
      </c>
      <c r="L21" s="249">
        <v>700000000</v>
      </c>
      <c r="M21" s="249">
        <f>1200000000</f>
        <v>1200000000</v>
      </c>
      <c r="N21" s="249">
        <v>992452800</v>
      </c>
      <c r="O21" s="249">
        <v>1492452800</v>
      </c>
      <c r="P21" s="249">
        <v>1692452800</v>
      </c>
      <c r="Q21" s="249">
        <v>600000000</v>
      </c>
      <c r="R21" s="249">
        <v>1500000000</v>
      </c>
      <c r="S21" s="848">
        <v>2000000000</v>
      </c>
      <c r="T21" s="274">
        <f t="shared" si="0"/>
        <v>500000000</v>
      </c>
    </row>
    <row r="22" spans="1:20" ht="24.95" customHeight="1">
      <c r="A22" s="392">
        <v>22109</v>
      </c>
      <c r="B22" s="246" t="s">
        <v>136</v>
      </c>
      <c r="C22" s="246"/>
      <c r="D22" s="246"/>
      <c r="E22" s="246"/>
      <c r="F22" s="246"/>
      <c r="G22" s="246"/>
      <c r="H22" s="249"/>
      <c r="I22" s="249"/>
      <c r="J22" s="249"/>
      <c r="K22" s="249">
        <v>10000000</v>
      </c>
      <c r="L22" s="249">
        <v>10000000</v>
      </c>
      <c r="M22" s="249">
        <f>40000000</f>
        <v>40000000</v>
      </c>
      <c r="N22" s="249">
        <f>40000000</f>
        <v>40000000</v>
      </c>
      <c r="O22" s="249">
        <f>40000000</f>
        <v>40000000</v>
      </c>
      <c r="P22" s="249">
        <f>40000000</f>
        <v>40000000</v>
      </c>
      <c r="Q22" s="249">
        <v>20000000</v>
      </c>
      <c r="R22" s="249">
        <v>40000000</v>
      </c>
      <c r="S22" s="848">
        <v>8000000</v>
      </c>
      <c r="T22" s="274">
        <f t="shared" si="0"/>
        <v>-32000000</v>
      </c>
    </row>
    <row r="23" spans="1:20" ht="24.95" customHeight="1">
      <c r="A23" s="392">
        <v>22112</v>
      </c>
      <c r="B23" s="246" t="s">
        <v>35</v>
      </c>
      <c r="C23" s="246">
        <v>0</v>
      </c>
      <c r="D23" s="246">
        <v>0</v>
      </c>
      <c r="E23" s="246">
        <v>35000000</v>
      </c>
      <c r="F23" s="246">
        <v>10000000</v>
      </c>
      <c r="G23" s="246">
        <v>0</v>
      </c>
      <c r="H23" s="249">
        <v>0</v>
      </c>
      <c r="I23" s="249">
        <v>300000000</v>
      </c>
      <c r="J23" s="249">
        <v>305000000</v>
      </c>
      <c r="K23" s="249">
        <v>25000000</v>
      </c>
      <c r="L23" s="249">
        <v>75000000</v>
      </c>
      <c r="M23" s="249">
        <f>125000000</f>
        <v>125000000</v>
      </c>
      <c r="N23" s="249">
        <f>125000000</f>
        <v>125000000</v>
      </c>
      <c r="O23" s="249">
        <f>125000000</f>
        <v>125000000</v>
      </c>
      <c r="P23" s="249">
        <f>125000000</f>
        <v>125000000</v>
      </c>
      <c r="Q23" s="249">
        <f>125000000</f>
        <v>125000000</v>
      </c>
      <c r="R23" s="249">
        <v>125000000</v>
      </c>
      <c r="S23" s="848">
        <v>125000000</v>
      </c>
      <c r="T23" s="274">
        <f t="shared" si="0"/>
        <v>0</v>
      </c>
    </row>
    <row r="24" spans="1:20" ht="24.95" customHeight="1">
      <c r="A24" s="392">
        <v>22129</v>
      </c>
      <c r="B24" s="246" t="s">
        <v>143</v>
      </c>
      <c r="C24" s="246"/>
      <c r="D24" s="246"/>
      <c r="E24" s="246"/>
      <c r="F24" s="246"/>
      <c r="G24" s="246"/>
      <c r="H24" s="249"/>
      <c r="I24" s="249"/>
      <c r="J24" s="249"/>
      <c r="K24" s="249"/>
      <c r="L24" s="249">
        <v>0</v>
      </c>
      <c r="M24" s="249">
        <f>200000000</f>
        <v>200000000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848">
        <v>0</v>
      </c>
      <c r="T24" s="274">
        <f t="shared" si="0"/>
        <v>0</v>
      </c>
    </row>
    <row r="25" spans="1:20" ht="24.95" customHeight="1">
      <c r="A25" s="392">
        <v>22132</v>
      </c>
      <c r="B25" s="246" t="s">
        <v>187</v>
      </c>
      <c r="C25" s="246"/>
      <c r="D25" s="246"/>
      <c r="E25" s="246"/>
      <c r="F25" s="246"/>
      <c r="G25" s="246"/>
      <c r="H25" s="249"/>
      <c r="I25" s="249"/>
      <c r="J25" s="249"/>
      <c r="K25" s="249">
        <v>700000000</v>
      </c>
      <c r="L25" s="249">
        <v>1000000000</v>
      </c>
      <c r="M25" s="249">
        <f>1000000000</f>
        <v>1000000000</v>
      </c>
      <c r="N25" s="249">
        <v>0</v>
      </c>
      <c r="O25" s="249">
        <v>1000000000</v>
      </c>
      <c r="P25" s="249">
        <v>1000000000</v>
      </c>
      <c r="Q25" s="249">
        <v>460000000</v>
      </c>
      <c r="R25" s="249">
        <v>560000000</v>
      </c>
      <c r="S25" s="848">
        <v>560000000</v>
      </c>
      <c r="T25" s="274">
        <f t="shared" si="0"/>
        <v>0</v>
      </c>
    </row>
    <row r="26" spans="1:20" ht="24.95" customHeight="1">
      <c r="A26" s="392">
        <v>22134</v>
      </c>
      <c r="B26" s="246" t="s">
        <v>142</v>
      </c>
      <c r="C26" s="246"/>
      <c r="D26" s="246"/>
      <c r="E26" s="246"/>
      <c r="F26" s="246"/>
      <c r="G26" s="246"/>
      <c r="H26" s="249"/>
      <c r="I26" s="249"/>
      <c r="J26" s="249"/>
      <c r="K26" s="249">
        <v>600000000</v>
      </c>
      <c r="L26" s="249">
        <v>0</v>
      </c>
      <c r="M26" s="249">
        <f>1000000000</f>
        <v>1000000000</v>
      </c>
      <c r="N26" s="249">
        <v>1368800000</v>
      </c>
      <c r="O26" s="249">
        <v>1176724000</v>
      </c>
      <c r="P26" s="249">
        <v>1976724000</v>
      </c>
      <c r="Q26" s="249">
        <v>0</v>
      </c>
      <c r="R26" s="249">
        <v>500000000</v>
      </c>
      <c r="S26" s="848">
        <v>500000000</v>
      </c>
      <c r="T26" s="274">
        <f t="shared" si="0"/>
        <v>0</v>
      </c>
    </row>
    <row r="27" spans="1:20" ht="24.95" customHeight="1">
      <c r="A27" s="392">
        <v>22137</v>
      </c>
      <c r="B27" s="246" t="s">
        <v>546</v>
      </c>
      <c r="C27" s="246"/>
      <c r="D27" s="246"/>
      <c r="E27" s="246"/>
      <c r="F27" s="246"/>
      <c r="G27" s="246"/>
      <c r="H27" s="249"/>
      <c r="I27" s="249"/>
      <c r="J27" s="249"/>
      <c r="K27" s="249"/>
      <c r="L27" s="249"/>
      <c r="M27" s="249"/>
      <c r="N27" s="249">
        <v>331200000</v>
      </c>
      <c r="O27" s="249">
        <v>331200000</v>
      </c>
      <c r="P27" s="249">
        <v>421200000</v>
      </c>
      <c r="Q27" s="249">
        <v>330000000</v>
      </c>
      <c r="R27" s="249">
        <v>430000000</v>
      </c>
      <c r="S27" s="848">
        <v>660000000</v>
      </c>
      <c r="T27" s="274">
        <f t="shared" si="0"/>
        <v>230000000</v>
      </c>
    </row>
    <row r="28" spans="1:20" ht="24.95" customHeight="1">
      <c r="A28" s="392"/>
      <c r="B28" s="280" t="s">
        <v>92</v>
      </c>
      <c r="C28" s="280"/>
      <c r="D28" s="280"/>
      <c r="E28" s="280"/>
      <c r="F28" s="280"/>
      <c r="G28" s="280">
        <f>SUM(G14:G23)</f>
        <v>102594400</v>
      </c>
      <c r="H28" s="285">
        <f>SUM(H14:H23)</f>
        <v>194243000</v>
      </c>
      <c r="I28" s="285">
        <f>SUM(I14:I23)</f>
        <v>586000000</v>
      </c>
      <c r="J28" s="285">
        <f>SUM(J14:J23)</f>
        <v>685000000</v>
      </c>
      <c r="K28" s="285">
        <f>SUM(K14:K26)</f>
        <v>1994800000</v>
      </c>
      <c r="L28" s="285">
        <f>SUM(L14:L26)</f>
        <v>2094800000</v>
      </c>
      <c r="M28" s="285">
        <f>SUM(M14:M26)</f>
        <v>4297400000</v>
      </c>
      <c r="N28" s="285">
        <f ca="1">SUM(N14:N49)</f>
        <v>4083852800</v>
      </c>
      <c r="O28" s="285">
        <f ca="1">SUM(O14:O49)</f>
        <v>4931776800</v>
      </c>
      <c r="P28" s="285">
        <f ca="1">SUM(P14:P49)</f>
        <v>6501776800</v>
      </c>
      <c r="Q28" s="285">
        <f>SUM(Q14:Q27)</f>
        <v>2151000000</v>
      </c>
      <c r="R28" s="285">
        <f>SUM(R14:R27)</f>
        <v>4105000000</v>
      </c>
      <c r="S28" s="849">
        <f>SUM(S14:S27)</f>
        <v>4537000000</v>
      </c>
      <c r="T28" s="279">
        <f t="shared" si="0"/>
        <v>432000000</v>
      </c>
    </row>
    <row r="29" spans="1:20" ht="24.95" customHeight="1">
      <c r="A29" s="476">
        <v>2220</v>
      </c>
      <c r="B29" s="280" t="s">
        <v>240</v>
      </c>
      <c r="C29" s="246"/>
      <c r="D29" s="246"/>
      <c r="E29" s="246"/>
      <c r="F29" s="246"/>
      <c r="G29" s="246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848"/>
      <c r="T29" s="274">
        <f t="shared" si="0"/>
        <v>0</v>
      </c>
    </row>
    <row r="30" spans="1:20" ht="24.95" customHeight="1">
      <c r="A30" s="392">
        <v>22201</v>
      </c>
      <c r="B30" s="246" t="s">
        <v>132</v>
      </c>
      <c r="C30" s="246"/>
      <c r="D30" s="246"/>
      <c r="E30" s="246"/>
      <c r="F30" s="246"/>
      <c r="G30" s="246"/>
      <c r="H30" s="249"/>
      <c r="I30" s="249"/>
      <c r="J30" s="249"/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848">
        <v>0</v>
      </c>
      <c r="T30" s="274">
        <f t="shared" si="0"/>
        <v>0</v>
      </c>
    </row>
    <row r="31" spans="1:20" s="492" customFormat="1" ht="24.95" customHeight="1">
      <c r="A31" s="392">
        <v>22202</v>
      </c>
      <c r="B31" s="246" t="s">
        <v>133</v>
      </c>
      <c r="C31" s="246">
        <v>18000000</v>
      </c>
      <c r="D31" s="246">
        <v>40000000</v>
      </c>
      <c r="E31" s="246">
        <v>40000000</v>
      </c>
      <c r="F31" s="246">
        <v>0</v>
      </c>
      <c r="G31" s="246">
        <v>0</v>
      </c>
      <c r="H31" s="249">
        <v>0</v>
      </c>
      <c r="I31" s="249">
        <v>0</v>
      </c>
      <c r="J31" s="249">
        <v>50000000</v>
      </c>
      <c r="K31" s="249">
        <v>200000000</v>
      </c>
      <c r="L31" s="249">
        <v>300000000</v>
      </c>
      <c r="M31" s="249">
        <f>500000000</f>
        <v>500000000</v>
      </c>
      <c r="N31" s="249">
        <f>M31*80%</f>
        <v>400000000</v>
      </c>
      <c r="O31" s="249">
        <v>400000000</v>
      </c>
      <c r="P31" s="249">
        <v>500000000</v>
      </c>
      <c r="Q31" s="249">
        <v>200000000</v>
      </c>
      <c r="R31" s="249">
        <v>400000000</v>
      </c>
      <c r="S31" s="848">
        <v>550000000</v>
      </c>
      <c r="T31" s="274">
        <f t="shared" si="0"/>
        <v>150000000</v>
      </c>
    </row>
    <row r="32" spans="1:20" s="493" customFormat="1" ht="24.95" customHeight="1">
      <c r="A32" s="392">
        <v>22203</v>
      </c>
      <c r="B32" s="246" t="s">
        <v>127</v>
      </c>
      <c r="C32" s="246"/>
      <c r="D32" s="246"/>
      <c r="E32" s="246"/>
      <c r="F32" s="246"/>
      <c r="G32" s="246">
        <v>0</v>
      </c>
      <c r="H32" s="249">
        <v>130000000</v>
      </c>
      <c r="I32" s="249">
        <v>210000000</v>
      </c>
      <c r="J32" s="249">
        <v>0</v>
      </c>
      <c r="K32" s="249">
        <v>56000000</v>
      </c>
      <c r="L32" s="249">
        <v>56000000</v>
      </c>
      <c r="M32" s="249">
        <f>100000000</f>
        <v>100000000</v>
      </c>
      <c r="N32" s="249">
        <f>100000000</f>
        <v>100000000</v>
      </c>
      <c r="O32" s="249">
        <f>100000000</f>
        <v>100000000</v>
      </c>
      <c r="P32" s="249">
        <v>150000000</v>
      </c>
      <c r="Q32" s="249">
        <v>100000000</v>
      </c>
      <c r="R32" s="249">
        <v>100000000</v>
      </c>
      <c r="S32" s="848">
        <v>100000000</v>
      </c>
      <c r="T32" s="274">
        <f t="shared" si="0"/>
        <v>0</v>
      </c>
    </row>
    <row r="33" spans="1:26" ht="24.95" customHeight="1">
      <c r="A33" s="392">
        <v>22204</v>
      </c>
      <c r="B33" s="246" t="s">
        <v>128</v>
      </c>
      <c r="C33" s="246"/>
      <c r="D33" s="246"/>
      <c r="E33" s="246"/>
      <c r="F33" s="246">
        <v>0</v>
      </c>
      <c r="G33" s="246">
        <v>4000000</v>
      </c>
      <c r="H33" s="249">
        <v>5000000</v>
      </c>
      <c r="I33" s="249">
        <v>20000000</v>
      </c>
      <c r="J33" s="249">
        <v>20000000</v>
      </c>
      <c r="K33" s="249">
        <v>30000000</v>
      </c>
      <c r="L33" s="249">
        <v>30000000</v>
      </c>
      <c r="M33" s="249">
        <f>60000000</f>
        <v>60000000</v>
      </c>
      <c r="N33" s="249">
        <v>50000000</v>
      </c>
      <c r="O33" s="249">
        <v>50000000</v>
      </c>
      <c r="P33" s="249">
        <v>50000000</v>
      </c>
      <c r="Q33" s="249">
        <v>20000000</v>
      </c>
      <c r="R33" s="249">
        <v>20000000</v>
      </c>
      <c r="S33" s="848">
        <v>20000000</v>
      </c>
      <c r="T33" s="274">
        <f t="shared" si="0"/>
        <v>0</v>
      </c>
    </row>
    <row r="34" spans="1:26" ht="24.95" customHeight="1">
      <c r="A34" s="392"/>
      <c r="B34" s="280" t="s">
        <v>92</v>
      </c>
      <c r="C34" s="280"/>
      <c r="D34" s="280"/>
      <c r="E34" s="280"/>
      <c r="F34" s="280"/>
      <c r="G34" s="280">
        <f>SUM(G31:G33)</f>
        <v>4000000</v>
      </c>
      <c r="H34" s="285">
        <f>SUM(H31:H33)</f>
        <v>135000000</v>
      </c>
      <c r="I34" s="285">
        <f>SUM(I31:I33)</f>
        <v>230000000</v>
      </c>
      <c r="J34" s="285">
        <f>SUM(J31:J33)</f>
        <v>70000000</v>
      </c>
      <c r="K34" s="285">
        <f>SUM(K31:K33)</f>
        <v>286000000</v>
      </c>
      <c r="L34" s="285">
        <f t="shared" ref="L34:Q34" si="2">SUM(L30:L33)</f>
        <v>386000000</v>
      </c>
      <c r="M34" s="285">
        <f t="shared" si="2"/>
        <v>660000000</v>
      </c>
      <c r="N34" s="285">
        <f t="shared" si="2"/>
        <v>550000000</v>
      </c>
      <c r="O34" s="285">
        <f t="shared" si="2"/>
        <v>550000000</v>
      </c>
      <c r="P34" s="285">
        <f t="shared" si="2"/>
        <v>700000000</v>
      </c>
      <c r="Q34" s="285">
        <f t="shared" si="2"/>
        <v>320000000</v>
      </c>
      <c r="R34" s="285">
        <f>SUM(R30:R33)</f>
        <v>520000000</v>
      </c>
      <c r="S34" s="849">
        <f>SUM(S30:S33)</f>
        <v>670000000</v>
      </c>
      <c r="T34" s="279">
        <f t="shared" si="0"/>
        <v>150000000</v>
      </c>
    </row>
    <row r="35" spans="1:26" ht="24.95" customHeight="1">
      <c r="A35" s="476">
        <v>2230</v>
      </c>
      <c r="B35" s="280" t="s">
        <v>130</v>
      </c>
      <c r="C35" s="246"/>
      <c r="D35" s="246"/>
      <c r="E35" s="246">
        <v>0</v>
      </c>
      <c r="F35" s="246">
        <v>0</v>
      </c>
      <c r="G35" s="246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848"/>
      <c r="T35" s="274">
        <f t="shared" si="0"/>
        <v>0</v>
      </c>
    </row>
    <row r="36" spans="1:26" ht="24.95" customHeight="1">
      <c r="A36" s="392">
        <v>22301</v>
      </c>
      <c r="B36" s="246" t="s">
        <v>49</v>
      </c>
      <c r="C36" s="246">
        <v>18000000</v>
      </c>
      <c r="D36" s="246">
        <v>30000000</v>
      </c>
      <c r="E36" s="246">
        <v>30000000</v>
      </c>
      <c r="F36" s="246">
        <v>30000000</v>
      </c>
      <c r="G36" s="246">
        <v>24000000</v>
      </c>
      <c r="H36" s="249">
        <v>30000000</v>
      </c>
      <c r="I36" s="249">
        <v>30000000</v>
      </c>
      <c r="J36" s="249">
        <v>50000000</v>
      </c>
      <c r="K36" s="249">
        <v>30000000</v>
      </c>
      <c r="L36" s="249">
        <v>85556000</v>
      </c>
      <c r="M36" s="249">
        <f>120000000</f>
        <v>120000000</v>
      </c>
      <c r="N36" s="249">
        <v>50000000</v>
      </c>
      <c r="O36" s="249">
        <v>50000000</v>
      </c>
      <c r="P36" s="249">
        <v>100000000</v>
      </c>
      <c r="Q36" s="249">
        <v>100000000</v>
      </c>
      <c r="R36" s="249">
        <v>100000000</v>
      </c>
      <c r="S36" s="848">
        <v>150000000</v>
      </c>
      <c r="T36" s="274">
        <f t="shared" si="0"/>
        <v>50000000</v>
      </c>
    </row>
    <row r="37" spans="1:26" ht="24.95" customHeight="1">
      <c r="A37" s="392">
        <v>22302</v>
      </c>
      <c r="B37" s="246" t="s">
        <v>249</v>
      </c>
      <c r="C37" s="246"/>
      <c r="D37" s="246"/>
      <c r="E37" s="246"/>
      <c r="F37" s="246"/>
      <c r="G37" s="246">
        <v>0</v>
      </c>
      <c r="H37" s="249">
        <v>0</v>
      </c>
      <c r="I37" s="249">
        <v>0</v>
      </c>
      <c r="J37" s="249">
        <v>0</v>
      </c>
      <c r="K37" s="249">
        <v>0</v>
      </c>
      <c r="L37" s="249">
        <v>0</v>
      </c>
      <c r="M37" s="249">
        <f>100000000+300000000</f>
        <v>400000000</v>
      </c>
      <c r="N37" s="249">
        <v>0</v>
      </c>
      <c r="O37" s="249">
        <v>60000000</v>
      </c>
      <c r="P37" s="249">
        <v>100000000</v>
      </c>
      <c r="Q37" s="249">
        <v>0</v>
      </c>
      <c r="R37" s="249">
        <v>0</v>
      </c>
      <c r="S37" s="848">
        <v>200000000</v>
      </c>
      <c r="T37" s="274">
        <f t="shared" si="0"/>
        <v>200000000</v>
      </c>
    </row>
    <row r="38" spans="1:26" ht="24.95" customHeight="1">
      <c r="A38" s="392">
        <v>22313</v>
      </c>
      <c r="B38" s="246" t="s">
        <v>251</v>
      </c>
      <c r="C38" s="246"/>
      <c r="D38" s="246"/>
      <c r="E38" s="246"/>
      <c r="F38" s="246">
        <v>0</v>
      </c>
      <c r="G38" s="246">
        <v>4000000</v>
      </c>
      <c r="H38" s="249">
        <v>5000000</v>
      </c>
      <c r="I38" s="249">
        <v>5000000</v>
      </c>
      <c r="J38" s="249">
        <v>15000000</v>
      </c>
      <c r="K38" s="249">
        <v>5000000</v>
      </c>
      <c r="L38" s="249">
        <v>5000000</v>
      </c>
      <c r="M38" s="249">
        <f>60000000</f>
        <v>60000000</v>
      </c>
      <c r="N38" s="249">
        <v>0</v>
      </c>
      <c r="O38" s="249">
        <v>0</v>
      </c>
      <c r="P38" s="249">
        <v>0</v>
      </c>
      <c r="Q38" s="249">
        <v>0</v>
      </c>
      <c r="R38" s="249">
        <v>0</v>
      </c>
      <c r="S38" s="848">
        <v>0</v>
      </c>
      <c r="T38" s="274">
        <f t="shared" si="0"/>
        <v>0</v>
      </c>
    </row>
    <row r="39" spans="1:26" ht="24.95" customHeight="1">
      <c r="A39" s="392"/>
      <c r="B39" s="280" t="s">
        <v>92</v>
      </c>
      <c r="C39" s="280"/>
      <c r="D39" s="280"/>
      <c r="E39" s="280"/>
      <c r="F39" s="280"/>
      <c r="G39" s="280">
        <f t="shared" ref="G39:L39" si="3">SUM(G36:G38)</f>
        <v>28000000</v>
      </c>
      <c r="H39" s="285">
        <f t="shared" si="3"/>
        <v>35000000</v>
      </c>
      <c r="I39" s="285">
        <f t="shared" si="3"/>
        <v>35000000</v>
      </c>
      <c r="J39" s="285">
        <f t="shared" si="3"/>
        <v>65000000</v>
      </c>
      <c r="K39" s="285">
        <f t="shared" si="3"/>
        <v>35000000</v>
      </c>
      <c r="L39" s="285">
        <f t="shared" si="3"/>
        <v>90556000</v>
      </c>
      <c r="M39" s="285">
        <f t="shared" ref="M39:P39" si="4">SUM(M36:M38)</f>
        <v>580000000</v>
      </c>
      <c r="N39" s="285">
        <f t="shared" si="4"/>
        <v>50000000</v>
      </c>
      <c r="O39" s="285">
        <f t="shared" si="4"/>
        <v>110000000</v>
      </c>
      <c r="P39" s="285">
        <f t="shared" si="4"/>
        <v>200000000</v>
      </c>
      <c r="Q39" s="285">
        <f>SUM(Q36:Q38)</f>
        <v>100000000</v>
      </c>
      <c r="R39" s="285">
        <f>SUM(R36:R38)</f>
        <v>100000000</v>
      </c>
      <c r="S39" s="849">
        <f>SUM(S36:S38)</f>
        <v>350000000</v>
      </c>
      <c r="T39" s="279">
        <f t="shared" si="0"/>
        <v>250000000</v>
      </c>
    </row>
    <row r="40" spans="1:26" ht="24.95" customHeight="1">
      <c r="A40" s="476">
        <v>270</v>
      </c>
      <c r="B40" s="280" t="s">
        <v>253</v>
      </c>
      <c r="C40" s="246">
        <v>0</v>
      </c>
      <c r="D40" s="246">
        <v>0</v>
      </c>
      <c r="E40" s="246">
        <v>0</v>
      </c>
      <c r="F40" s="246">
        <v>0</v>
      </c>
      <c r="G40" s="246">
        <v>16000000</v>
      </c>
      <c r="H40" s="246">
        <v>360113000</v>
      </c>
      <c r="I40" s="246">
        <v>208212162</v>
      </c>
      <c r="J40" s="246">
        <v>330000000</v>
      </c>
      <c r="K40" s="246"/>
      <c r="L40" s="246"/>
      <c r="M40" s="246"/>
      <c r="N40" s="246"/>
      <c r="O40" s="246"/>
      <c r="P40" s="246"/>
      <c r="Q40" s="246"/>
      <c r="R40" s="246"/>
      <c r="S40" s="840"/>
      <c r="T40" s="274">
        <f t="shared" si="0"/>
        <v>0</v>
      </c>
    </row>
    <row r="41" spans="1:26" ht="24.95" customHeight="1">
      <c r="A41" s="476">
        <v>2710</v>
      </c>
      <c r="B41" s="280" t="s">
        <v>252</v>
      </c>
      <c r="C41" s="246"/>
      <c r="D41" s="246"/>
      <c r="E41" s="246"/>
      <c r="F41" s="246"/>
      <c r="G41" s="246"/>
      <c r="H41" s="246"/>
      <c r="I41" s="246">
        <v>0</v>
      </c>
      <c r="J41" s="246">
        <v>35000000</v>
      </c>
      <c r="K41" s="246"/>
      <c r="L41" s="246"/>
      <c r="M41" s="246"/>
      <c r="N41" s="246"/>
      <c r="O41" s="246"/>
      <c r="P41" s="246"/>
      <c r="Q41" s="246"/>
      <c r="R41" s="246"/>
      <c r="S41" s="840"/>
      <c r="T41" s="274">
        <f t="shared" si="0"/>
        <v>0</v>
      </c>
    </row>
    <row r="42" spans="1:26" ht="24.95" customHeight="1">
      <c r="A42" s="392">
        <v>27601</v>
      </c>
      <c r="B42" s="246" t="s">
        <v>1212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>
        <v>0</v>
      </c>
      <c r="R42" s="246">
        <v>50000000</v>
      </c>
      <c r="S42" s="840">
        <v>500000000</v>
      </c>
      <c r="T42" s="274">
        <f t="shared" si="0"/>
        <v>450000000</v>
      </c>
      <c r="Z42" s="675" t="s">
        <v>4</v>
      </c>
    </row>
    <row r="43" spans="1:26" ht="24.95" customHeight="1">
      <c r="A43" s="392">
        <v>27402</v>
      </c>
      <c r="B43" s="246" t="s">
        <v>1245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>
        <v>0</v>
      </c>
      <c r="M43" s="246">
        <f>156000000</f>
        <v>156000000</v>
      </c>
      <c r="N43" s="246">
        <v>0</v>
      </c>
      <c r="O43" s="246">
        <v>220000000</v>
      </c>
      <c r="P43" s="246">
        <v>0</v>
      </c>
      <c r="Q43" s="246">
        <v>396000000</v>
      </c>
      <c r="R43" s="246">
        <v>200000000</v>
      </c>
      <c r="S43" s="840">
        <v>0</v>
      </c>
      <c r="T43" s="274">
        <f t="shared" si="0"/>
        <v>-200000000</v>
      </c>
    </row>
    <row r="44" spans="1:26" ht="24.95" customHeight="1">
      <c r="A44" s="392">
        <v>27608</v>
      </c>
      <c r="B44" s="246" t="s">
        <v>977</v>
      </c>
      <c r="C44" s="280" t="e">
        <f>#REF!+#REF!+#REF!+#REF!+#REF!</f>
        <v>#REF!</v>
      </c>
      <c r="D44" s="280" t="e">
        <f>#REF!+#REF!+#REF!+#REF!+#REF!</f>
        <v>#REF!</v>
      </c>
      <c r="E44" s="280" t="e">
        <f>#REF!+#REF!+#REF!+#REF!+#REF!</f>
        <v>#REF!</v>
      </c>
      <c r="F44" s="280" t="e">
        <f>#REF!+#REF!+#REF!+#REF!+#REF!</f>
        <v>#REF!</v>
      </c>
      <c r="G44" s="280" t="e">
        <f>#REF!+#REF!+#REF!+#REF!+#REF!</f>
        <v>#REF!</v>
      </c>
      <c r="H44" s="280" t="e">
        <f>#REF!+#REF!+#REF!+#REF!+#REF!</f>
        <v>#REF!</v>
      </c>
      <c r="I44" s="280" t="e">
        <f>#REF!+#REF!+#REF!+#REF!+#REF!</f>
        <v>#REF!</v>
      </c>
      <c r="J44" s="280" t="e">
        <f>#REF!+#REF!+#REF!+#REF!+#REF!</f>
        <v>#REF!</v>
      </c>
      <c r="K44" s="246">
        <v>20000000</v>
      </c>
      <c r="L44" s="246">
        <v>20000000</v>
      </c>
      <c r="M44" s="246">
        <f>20000000</f>
        <v>20000000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840">
        <v>0</v>
      </c>
      <c r="T44" s="274">
        <f t="shared" si="0"/>
        <v>0</v>
      </c>
    </row>
    <row r="45" spans="1:26" ht="24.95" customHeight="1">
      <c r="A45" s="392"/>
      <c r="B45" s="280" t="s">
        <v>92</v>
      </c>
      <c r="C45" s="292"/>
      <c r="D45" s="292"/>
      <c r="E45" s="292"/>
      <c r="F45" s="274"/>
      <c r="G45" s="274"/>
      <c r="H45" s="274"/>
      <c r="I45" s="274"/>
      <c r="J45" s="274"/>
      <c r="K45" s="274"/>
      <c r="L45" s="279">
        <f>SUM(L44:L44)</f>
        <v>20000000</v>
      </c>
      <c r="M45" s="279">
        <f t="shared" ref="M45:P45" si="5">SUM(M43:M44)</f>
        <v>176000000</v>
      </c>
      <c r="N45" s="279">
        <f t="shared" si="5"/>
        <v>0</v>
      </c>
      <c r="O45" s="279">
        <f t="shared" si="5"/>
        <v>220000000</v>
      </c>
      <c r="P45" s="279">
        <f t="shared" si="5"/>
        <v>0</v>
      </c>
      <c r="Q45" s="279">
        <f>SUM(Q42:Q44)</f>
        <v>396000000</v>
      </c>
      <c r="R45" s="279">
        <f>SUM(R42:R44)</f>
        <v>250000000</v>
      </c>
      <c r="S45" s="850">
        <f>SUM(S42:S44)</f>
        <v>500000000</v>
      </c>
      <c r="T45" s="279">
        <f t="shared" si="0"/>
        <v>250000000</v>
      </c>
    </row>
    <row r="46" spans="1:26" ht="24.95" customHeight="1">
      <c r="A46" s="476">
        <v>2720</v>
      </c>
      <c r="B46" s="280" t="s">
        <v>129</v>
      </c>
      <c r="C46" s="246"/>
      <c r="D46" s="246"/>
      <c r="E46" s="246"/>
      <c r="F46" s="246"/>
      <c r="G46" s="246"/>
      <c r="H46" s="246"/>
      <c r="I46" s="246"/>
      <c r="J46" s="246"/>
      <c r="K46" s="280"/>
      <c r="L46" s="280"/>
      <c r="M46" s="246"/>
      <c r="N46" s="246"/>
      <c r="O46" s="246"/>
      <c r="P46" s="246"/>
      <c r="Q46" s="246"/>
      <c r="R46" s="246"/>
      <c r="S46" s="840"/>
      <c r="T46" s="274">
        <f t="shared" si="0"/>
        <v>0</v>
      </c>
    </row>
    <row r="47" spans="1:26" ht="24.95" customHeight="1">
      <c r="A47" s="392">
        <v>27202</v>
      </c>
      <c r="B47" s="246" t="s">
        <v>1246</v>
      </c>
      <c r="C47" s="246"/>
      <c r="D47" s="246"/>
      <c r="E47" s="246"/>
      <c r="F47" s="246"/>
      <c r="G47" s="246"/>
      <c r="H47" s="246"/>
      <c r="I47" s="246"/>
      <c r="J47" s="246"/>
      <c r="K47" s="246">
        <v>210000000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1200000000</v>
      </c>
      <c r="S47" s="840">
        <v>0</v>
      </c>
      <c r="T47" s="274">
        <f t="shared" si="0"/>
        <v>-1200000000</v>
      </c>
    </row>
    <row r="48" spans="1:26" ht="24.95" customHeight="1">
      <c r="A48" s="392"/>
      <c r="B48" s="280" t="s">
        <v>92</v>
      </c>
      <c r="C48" s="246"/>
      <c r="D48" s="246"/>
      <c r="E48" s="246"/>
      <c r="F48" s="246"/>
      <c r="G48" s="246"/>
      <c r="H48" s="246"/>
      <c r="I48" s="246"/>
      <c r="J48" s="246"/>
      <c r="K48" s="280">
        <f t="shared" ref="K48:P48" si="6">SUM(K47)</f>
        <v>210000000</v>
      </c>
      <c r="L48" s="280">
        <f t="shared" si="6"/>
        <v>0</v>
      </c>
      <c r="M48" s="280">
        <f t="shared" si="6"/>
        <v>0</v>
      </c>
      <c r="N48" s="280">
        <f t="shared" si="6"/>
        <v>0</v>
      </c>
      <c r="O48" s="280">
        <f t="shared" si="6"/>
        <v>0</v>
      </c>
      <c r="P48" s="280">
        <f t="shared" si="6"/>
        <v>0</v>
      </c>
      <c r="Q48" s="280">
        <f>SUM(Q47)</f>
        <v>0</v>
      </c>
      <c r="R48" s="280">
        <f>SUM(R47)</f>
        <v>1200000000</v>
      </c>
      <c r="S48" s="851">
        <f>SUM(S47)</f>
        <v>0</v>
      </c>
      <c r="T48" s="274">
        <f t="shared" si="0"/>
        <v>-1200000000</v>
      </c>
    </row>
    <row r="49" spans="1:20" ht="24.95" customHeight="1">
      <c r="A49" s="476">
        <v>2810</v>
      </c>
      <c r="B49" s="280" t="s">
        <v>1242</v>
      </c>
      <c r="C49" s="246"/>
      <c r="D49" s="246"/>
      <c r="E49" s="246"/>
      <c r="F49" s="246"/>
      <c r="G49" s="246"/>
      <c r="H49" s="246"/>
      <c r="I49" s="246"/>
      <c r="J49" s="246"/>
      <c r="K49" s="280"/>
      <c r="L49" s="280"/>
      <c r="M49" s="280"/>
      <c r="N49" s="280"/>
      <c r="O49" s="280"/>
      <c r="P49" s="280"/>
      <c r="Q49" s="280"/>
      <c r="R49" s="280"/>
      <c r="S49" s="851"/>
      <c r="T49" s="274">
        <f t="shared" si="0"/>
        <v>0</v>
      </c>
    </row>
    <row r="50" spans="1:20" s="675" customFormat="1" ht="24.95" customHeight="1">
      <c r="A50" s="392">
        <v>28102</v>
      </c>
      <c r="B50" s="246" t="s">
        <v>982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>
        <v>0</v>
      </c>
      <c r="R50" s="246">
        <v>236000000</v>
      </c>
      <c r="S50" s="840">
        <v>1073000000</v>
      </c>
      <c r="T50" s="274">
        <f t="shared" si="0"/>
        <v>837000000</v>
      </c>
    </row>
    <row r="51" spans="1:20" s="675" customFormat="1" ht="24.95" customHeight="1">
      <c r="A51" s="392"/>
      <c r="B51" s="280" t="s">
        <v>92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851">
        <f>SUM(S50)</f>
        <v>1073000000</v>
      </c>
      <c r="T51" s="279">
        <f t="shared" si="0"/>
        <v>1073000000</v>
      </c>
    </row>
    <row r="52" spans="1:20" s="492" customFormat="1" ht="24.95" customHeight="1">
      <c r="A52" s="392"/>
      <c r="B52" s="280" t="s">
        <v>37</v>
      </c>
      <c r="C52" s="280" t="e">
        <f>#REF!+#REF!+#REF!+C31+C13</f>
        <v>#REF!</v>
      </c>
      <c r="D52" s="280" t="e">
        <f>#REF!+#REF!+#REF!+D31+D13</f>
        <v>#REF!</v>
      </c>
      <c r="E52" s="280" t="e">
        <f>#REF!+#REF!+#REF!+E31+E13</f>
        <v>#REF!</v>
      </c>
      <c r="F52" s="280" t="e">
        <f>#REF!+#REF!+#REF!+F31+F13</f>
        <v>#REF!</v>
      </c>
      <c r="G52" s="280" t="e">
        <f>#REF!+#REF!+G34+G28+G11</f>
        <v>#REF!</v>
      </c>
      <c r="H52" s="280" t="e">
        <f>+#REF!+#REF!+H34+H28+H11</f>
        <v>#REF!</v>
      </c>
      <c r="I52" s="280" t="e">
        <f>#REF!+#REF!+I34+I28+I11</f>
        <v>#REF!</v>
      </c>
      <c r="J52" s="280" t="e">
        <f>#REF!+#REF!+J34+J28+J11</f>
        <v>#REF!</v>
      </c>
      <c r="K52" s="280" t="e">
        <f>#REF!+K39+K34+K28+K11</f>
        <v>#REF!</v>
      </c>
      <c r="L52" s="280">
        <f>L48+L45+L39+L34+L28+L11</f>
        <v>5773620400</v>
      </c>
      <c r="M52" s="280">
        <f>M48+M45+M39+M34+M28+M11</f>
        <v>15299266400</v>
      </c>
      <c r="N52" s="280">
        <f ca="1">N48+N45+N39+N34+N28+N11</f>
        <v>14413692800</v>
      </c>
      <c r="O52" s="280">
        <f ca="1">O48+O45+O39+O34+O28+O11</f>
        <v>15364892800</v>
      </c>
      <c r="P52" s="280">
        <f ca="1">P48+P45+P39+P34+P28+P11</f>
        <v>17234053120</v>
      </c>
      <c r="Q52" s="285">
        <f>Q50+Q48+Q45+Q39+Q34+Q28+Q11</f>
        <v>19557548320</v>
      </c>
      <c r="R52" s="285">
        <f>R50+R48+R45+R39+R34+R28+R11</f>
        <v>25574694240</v>
      </c>
      <c r="S52" s="849">
        <f>S51+S48+S45+S39+S34+S28+S11</f>
        <v>29096922752</v>
      </c>
      <c r="T52" s="279">
        <f t="shared" si="0"/>
        <v>3522228512</v>
      </c>
    </row>
    <row r="53" spans="1:20" ht="24.95" customHeight="1">
      <c r="E53" s="494">
        <v>0</v>
      </c>
      <c r="M53" s="495"/>
      <c r="N53" s="495"/>
      <c r="O53" s="495"/>
    </row>
    <row r="54" spans="1:20" ht="24.95" customHeight="1">
      <c r="F54" s="494">
        <v>2492914659</v>
      </c>
    </row>
    <row r="55" spans="1:20" ht="24.95" customHeight="1">
      <c r="F55" s="494" t="e">
        <f>F52-F54</f>
        <v>#REF!</v>
      </c>
    </row>
  </sheetData>
  <phoneticPr fontId="0" type="noConversion"/>
  <printOptions gridLines="1"/>
  <pageMargins left="0.6" right="0.45" top="0.57999999999999996" bottom="0.18" header="0.17" footer="0.28999999999999998"/>
  <pageSetup scale="55" orientation="portrait" r:id="rId1"/>
  <headerFooter alignWithMargins="0">
    <oddHeader>&amp;C&amp;"Algerian,Bold"&amp;36Golaha Guurtidda JSL.</oddHeader>
    <oddFooter>&amp;C&amp;"Algerian,Regular"&amp;14 &amp;R&amp;"Times New Roman,Bold"&amp;20 3</oddFooter>
  </headerFooter>
  <ignoredErrors>
    <ignoredError sqref="K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86</vt:i4>
      </vt:variant>
      <vt:variant>
        <vt:lpstr>Named Ranges</vt:lpstr>
      </vt:variant>
      <vt:variant>
        <vt:i4>70</vt:i4>
      </vt:variant>
    </vt:vector>
  </HeadingPairs>
  <TitlesOfParts>
    <vt:vector size="156" baseType="lpstr">
      <vt:lpstr>SOO</vt:lpstr>
      <vt:lpstr>SUB-HEADS</vt:lpstr>
      <vt:lpstr>DAKHLIG GOOBAYSAN 2017</vt:lpstr>
      <vt:lpstr>Soo koobida guud</vt:lpstr>
      <vt:lpstr>shaxda Guud</vt:lpstr>
      <vt:lpstr>Sum 1</vt:lpstr>
      <vt:lpstr>011-012</vt:lpstr>
      <vt:lpstr>013</vt:lpstr>
      <vt:lpstr>021</vt:lpstr>
      <vt:lpstr>031</vt:lpstr>
      <vt:lpstr>041</vt:lpstr>
      <vt:lpstr>051</vt:lpstr>
      <vt:lpstr>061</vt:lpstr>
      <vt:lpstr>071</vt:lpstr>
      <vt:lpstr>081</vt:lpstr>
      <vt:lpstr>082</vt:lpstr>
      <vt:lpstr>083</vt:lpstr>
      <vt:lpstr>084</vt:lpstr>
      <vt:lpstr>085</vt:lpstr>
      <vt:lpstr>091</vt:lpstr>
      <vt:lpstr>101</vt:lpstr>
      <vt:lpstr>102</vt:lpstr>
      <vt:lpstr>103</vt:lpstr>
      <vt:lpstr>104</vt:lpstr>
      <vt:lpstr>105</vt:lpstr>
      <vt:lpstr>111</vt:lpstr>
      <vt:lpstr>112</vt:lpstr>
      <vt:lpstr>113</vt:lpstr>
      <vt:lpstr>114</vt:lpstr>
      <vt:lpstr>115</vt:lpstr>
      <vt:lpstr>116</vt:lpstr>
      <vt:lpstr>117</vt:lpstr>
      <vt:lpstr>121</vt:lpstr>
      <vt:lpstr>131</vt:lpstr>
      <vt:lpstr>132</vt:lpstr>
      <vt:lpstr>141</vt:lpstr>
      <vt:lpstr>151</vt:lpstr>
      <vt:lpstr>152</vt:lpstr>
      <vt:lpstr>161</vt:lpstr>
      <vt:lpstr>171</vt:lpstr>
      <vt:lpstr>181</vt:lpstr>
      <vt:lpstr>191</vt:lpstr>
      <vt:lpstr>201</vt:lpstr>
      <vt:lpstr>211</vt:lpstr>
      <vt:lpstr>221</vt:lpstr>
      <vt:lpstr>222</vt:lpstr>
      <vt:lpstr>223</vt:lpstr>
      <vt:lpstr>231</vt:lpstr>
      <vt:lpstr>232</vt:lpstr>
      <vt:lpstr>241</vt:lpstr>
      <vt:lpstr>242</vt:lpstr>
      <vt:lpstr>251</vt:lpstr>
      <vt:lpstr>261</vt:lpstr>
      <vt:lpstr>271</vt:lpstr>
      <vt:lpstr>291</vt:lpstr>
      <vt:lpstr>301</vt:lpstr>
      <vt:lpstr>311</vt:lpstr>
      <vt:lpstr>321</vt:lpstr>
      <vt:lpstr>331</vt:lpstr>
      <vt:lpstr>341</vt:lpstr>
      <vt:lpstr>381</vt:lpstr>
      <vt:lpstr>391</vt:lpstr>
      <vt:lpstr>401</vt:lpstr>
      <vt:lpstr>411</vt:lpstr>
      <vt:lpstr>421</vt:lpstr>
      <vt:lpstr>431</vt:lpstr>
      <vt:lpstr>441</vt:lpstr>
      <vt:lpstr>451</vt:lpstr>
      <vt:lpstr>shaqaalaha 2015</vt:lpstr>
      <vt:lpstr>Shaqaalaha cusub 2015</vt:lpstr>
      <vt:lpstr>dakhliga guud</vt:lpstr>
      <vt:lpstr>shaqaalaha2011</vt:lpstr>
      <vt:lpstr>sookob2</vt:lpstr>
      <vt:lpstr>Noolka safarada Dibedda</vt:lpstr>
      <vt:lpstr>Iijaarka</vt:lpstr>
      <vt:lpstr>cafimadka</vt:lpstr>
      <vt:lpstr>Madaxweyne ku xigeenka</vt:lpstr>
      <vt:lpstr>Miisaaniyada Guud</vt:lpstr>
      <vt:lpstr>Dakhti&amp;kharash</vt:lpstr>
      <vt:lpstr>deegameynta Dakhliga</vt:lpstr>
      <vt:lpstr>madax-xigeyaasha dakhliga</vt:lpstr>
      <vt:lpstr>Sheet1</vt:lpstr>
      <vt:lpstr>Sheet2</vt:lpstr>
      <vt:lpstr>Sheet3</vt:lpstr>
      <vt:lpstr>Sheet5</vt:lpstr>
      <vt:lpstr>Dhakhliga Guud</vt:lpstr>
      <vt:lpstr>'011-012'!Print_Area</vt:lpstr>
      <vt:lpstr>'013'!Print_Area</vt:lpstr>
      <vt:lpstr>'021'!Print_Area</vt:lpstr>
      <vt:lpstr>'031'!Print_Area</vt:lpstr>
      <vt:lpstr>'041'!Print_Area</vt:lpstr>
      <vt:lpstr>'051'!Print_Area</vt:lpstr>
      <vt:lpstr>'061'!Print_Area</vt:lpstr>
      <vt:lpstr>'071'!Print_Area</vt:lpstr>
      <vt:lpstr>'081'!Print_Area</vt:lpstr>
      <vt:lpstr>'082'!Print_Area</vt:lpstr>
      <vt:lpstr>'083'!Print_Area</vt:lpstr>
      <vt:lpstr>'084'!Print_Area</vt:lpstr>
      <vt:lpstr>'085'!Print_Area</vt:lpstr>
      <vt:lpstr>'091'!Print_Area</vt:lpstr>
      <vt:lpstr>'101'!Print_Area</vt:lpstr>
      <vt:lpstr>'102'!Print_Area</vt:lpstr>
      <vt:lpstr>'103'!Print_Area</vt:lpstr>
      <vt:lpstr>'105'!Print_Area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'121'!Print_Area</vt:lpstr>
      <vt:lpstr>'131'!Print_Area</vt:lpstr>
      <vt:lpstr>'132'!Print_Area</vt:lpstr>
      <vt:lpstr>'141'!Print_Area</vt:lpstr>
      <vt:lpstr>'151'!Print_Area</vt:lpstr>
      <vt:lpstr>'152'!Print_Area</vt:lpstr>
      <vt:lpstr>'161'!Print_Area</vt:lpstr>
      <vt:lpstr>'171'!Print_Area</vt:lpstr>
      <vt:lpstr>'181'!Print_Area</vt:lpstr>
      <vt:lpstr>'191'!Print_Area</vt:lpstr>
      <vt:lpstr>'201'!Print_Area</vt:lpstr>
      <vt:lpstr>'211'!Print_Area</vt:lpstr>
      <vt:lpstr>'221'!Print_Area</vt:lpstr>
      <vt:lpstr>'222'!Print_Area</vt:lpstr>
      <vt:lpstr>'223'!Print_Area</vt:lpstr>
      <vt:lpstr>'231'!Print_Area</vt:lpstr>
      <vt:lpstr>'241'!Print_Area</vt:lpstr>
      <vt:lpstr>'242'!Print_Area</vt:lpstr>
      <vt:lpstr>'251'!Print_Area</vt:lpstr>
      <vt:lpstr>'261'!Print_Area</vt:lpstr>
      <vt:lpstr>'271'!Print_Area</vt:lpstr>
      <vt:lpstr>'291'!Print_Area</vt:lpstr>
      <vt:lpstr>'301'!Print_Area</vt:lpstr>
      <vt:lpstr>'311'!Print_Area</vt:lpstr>
      <vt:lpstr>'321'!Print_Area</vt:lpstr>
      <vt:lpstr>'331'!Print_Area</vt:lpstr>
      <vt:lpstr>'341'!Print_Area</vt:lpstr>
      <vt:lpstr>'381'!Print_Area</vt:lpstr>
      <vt:lpstr>'391'!Print_Area</vt:lpstr>
      <vt:lpstr>'401'!Print_Area</vt:lpstr>
      <vt:lpstr>'411'!Print_Area</vt:lpstr>
      <vt:lpstr>'421'!Print_Area</vt:lpstr>
      <vt:lpstr>'431'!Print_Area</vt:lpstr>
      <vt:lpstr>'441'!Print_Area</vt:lpstr>
      <vt:lpstr>'451'!Print_Area</vt:lpstr>
      <vt:lpstr>'DAKHLIG GOOBAYSAN 2017'!Print_Area</vt:lpstr>
      <vt:lpstr>Iijaarka!Print_Area</vt:lpstr>
      <vt:lpstr>'shaqaalaha 2015'!Print_Area</vt:lpstr>
      <vt:lpstr>'shaxda Guud'!Print_Area</vt:lpstr>
      <vt:lpstr>Sheet1!Print_Area</vt:lpstr>
      <vt:lpstr>Sheet3!Print_Area</vt:lpstr>
      <vt:lpstr>'Soo koobida guud'!Print_Area</vt:lpstr>
      <vt:lpstr>sookob2!Print_Area</vt:lpstr>
      <vt:lpstr>'SUB-HEADS'!Print_Area</vt:lpstr>
      <vt:lpstr>'Sum 1'!Print_Area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ARCHIVE</cp:lastModifiedBy>
  <cp:lastPrinted>2016-12-25T13:41:11Z</cp:lastPrinted>
  <dcterms:created xsi:type="dcterms:W3CDTF">2001-01-11T12:08:15Z</dcterms:created>
  <dcterms:modified xsi:type="dcterms:W3CDTF">2017-01-03T08:59:19Z</dcterms:modified>
</cp:coreProperties>
</file>